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M033Q01S" sheetId="2" r:id="rId2"/>
    <s:sheet name="CM474Q01S" sheetId="3" r:id="rId3"/>
    <s:sheet name="DM155Q02C" sheetId="4" r:id="rId4"/>
    <s:sheet name="CM155Q01S" sheetId="5" r:id="rId5"/>
    <s:sheet name="DM155Q03C" sheetId="6" r:id="rId6"/>
    <s:sheet name="CM155Q04S" sheetId="7" r:id="rId7"/>
    <s:sheet name="CM411Q01S" sheetId="8" r:id="rId8"/>
    <s:sheet name="CM411Q02S" sheetId="9" r:id="rId9"/>
    <s:sheet name="CM803Q01S" sheetId="10" r:id="rId10"/>
    <s:sheet name="CM442Q02S" sheetId="11" r:id="rId11"/>
    <s:sheet name="DM462Q01C" sheetId="12" r:id="rId12"/>
    <s:sheet name="CM034Q01S" sheetId="13" r:id="rId13"/>
    <s:sheet name="CM305Q01S" sheetId="14" r:id="rId14"/>
    <s:sheet name="CM496Q01S" sheetId="15" r:id="rId15"/>
    <s:sheet name="CM496Q02S" sheetId="16" r:id="rId16"/>
    <s:sheet name="CM423Q01S" sheetId="17" r:id="rId17"/>
    <s:sheet name="CM192Q01S" sheetId="18" r:id="rId18"/>
    <s:sheet name="DM406Q01C" sheetId="19" r:id="rId19"/>
    <s:sheet name="DM406Q02C" sheetId="20" r:id="rId20"/>
    <s:sheet name="CM603Q01S" sheetId="21" r:id="rId21"/>
    <s:sheet name="CM571Q01S" sheetId="22" r:id="rId22"/>
    <s:sheet name="CM564Q01S" sheetId="23" r:id="rId23"/>
    <s:sheet name="CM564Q02S" sheetId="24" r:id="rId24"/>
    <s:sheet name="CM447Q01S" sheetId="25" r:id="rId25"/>
    <s:sheet name="CM273Q01S" sheetId="26" r:id="rId26"/>
    <s:sheet name="CM408Q01S" sheetId="27" r:id="rId27"/>
    <s:sheet name="CM420Q01S" sheetId="28" r:id="rId28"/>
    <s:sheet name="CM446Q01S" sheetId="29" r:id="rId29"/>
    <s:sheet name="DM446Q02C" sheetId="30" r:id="rId30"/>
    <s:sheet name="CM559Q01S" sheetId="31" r:id="rId31"/>
    <s:sheet name="DM828Q02C" sheetId="32" r:id="rId32"/>
    <s:sheet name="CM828Q03S" sheetId="33" r:id="rId33"/>
    <s:sheet name="CM464Q01S" sheetId="34" r:id="rId34"/>
    <s:sheet name="CM800Q01S" sheetId="35" r:id="rId35"/>
    <s:sheet name="CM982Q01S" sheetId="36" r:id="rId36"/>
    <s:sheet name="CM982Q02S" sheetId="37" r:id="rId37"/>
    <s:sheet name="CM982Q03S" sheetId="38" r:id="rId38"/>
    <s:sheet name="CM982Q04S" sheetId="39" r:id="rId39"/>
    <s:sheet name="CM992Q01S" sheetId="40" r:id="rId40"/>
    <s:sheet name="CM992Q02S" sheetId="41" r:id="rId41"/>
    <s:sheet name="DM992Q03C" sheetId="42" r:id="rId42"/>
    <s:sheet name="CM915Q01S" sheetId="43" r:id="rId43"/>
    <s:sheet name="CM915Q02S" sheetId="44" r:id="rId44"/>
    <s:sheet name="CM906Q01S" sheetId="45" r:id="rId45"/>
    <s:sheet name="DM906Q02C" sheetId="46" r:id="rId46"/>
    <s:sheet name="DM00KQ02C" sheetId="47" r:id="rId47"/>
    <s:sheet name="CM909Q01S" sheetId="48" r:id="rId48"/>
    <s:sheet name="CM909Q02S" sheetId="49" r:id="rId49"/>
    <s:sheet name="CM909Q03S" sheetId="50" r:id="rId50"/>
    <s:sheet name="CM949Q01S" sheetId="51" r:id="rId51"/>
    <s:sheet name="CM949Q02S" sheetId="52" r:id="rId52"/>
    <s:sheet name="DM949Q03C" sheetId="53" r:id="rId53"/>
    <s:sheet name="CM00GQ01S" sheetId="54" r:id="rId54"/>
    <s:sheet name="DM955Q01C" sheetId="55" r:id="rId55"/>
    <s:sheet name="DM955Q02C" sheetId="56" r:id="rId56"/>
    <s:sheet name="CM955Q03S" sheetId="57" r:id="rId57"/>
    <s:sheet name="DM998Q02C" sheetId="58" r:id="rId58"/>
    <s:sheet name="CM998Q04S" sheetId="59" r:id="rId59"/>
    <s:sheet name="CM905Q01S" sheetId="60" r:id="rId60"/>
    <s:sheet name="DM905Q02C" sheetId="61" r:id="rId61"/>
    <s:sheet name="CM919Q01S" sheetId="62" r:id="rId62"/>
    <s:sheet name="CM919Q02S" sheetId="63" r:id="rId63"/>
    <s:sheet name="CM954Q01S" sheetId="64" r:id="rId64"/>
    <s:sheet name="DM954Q02C" sheetId="65" r:id="rId65"/>
    <s:sheet name="CM954Q04S" sheetId="66" r:id="rId66"/>
    <s:sheet name="CM943Q01S" sheetId="67" r:id="rId67"/>
    <s:sheet name="CM943Q02S" sheetId="68" r:id="rId68"/>
    <s:sheet name="DM953Q02C" sheetId="69" r:id="rId69"/>
    <s:sheet name="CM953Q03S" sheetId="70" r:id="rId70"/>
    <s:sheet name="DM953Q04C" sheetId="71" r:id="rId71"/>
    <s:sheet name="CM948Q01S" sheetId="72" r:id="rId72"/>
    <s:sheet name="CM948Q02S" sheetId="73" r:id="rId73"/>
    <s:sheet name="CM948Q03S" sheetId="74" r:id="rId74"/>
    <s:sheet name="CM936Q01S" sheetId="75" r:id="rId75"/>
    <s:sheet name="DM936Q02C" sheetId="76" r:id="rId76"/>
    <s:sheet name="DM961Q02C" sheetId="77" r:id="rId77"/>
    <s:sheet name="CM961Q03S" sheetId="78" r:id="rId78"/>
    <s:sheet name="DM961Q05C" sheetId="79" r:id="rId79"/>
    <s:sheet name="CM939Q01S" sheetId="80" r:id="rId80"/>
    <s:sheet name="CM939Q02S" sheetId="81" r:id="rId81"/>
    <s:sheet name="CM967Q01S" sheetId="82" r:id="rId82"/>
    <s:sheet name="CM967Q03S" sheetId="83" r:id="rId83"/>
    <s:sheet name="PM033Q01S" sheetId="84" r:id="rId84"/>
    <s:sheet name="PM474Q01" sheetId="85" r:id="rId85"/>
    <s:sheet name="PM155Q02" sheetId="86" r:id="rId86"/>
    <s:sheet name="PM155Q01" sheetId="87" r:id="rId87"/>
    <s:sheet name="PM155Q03" sheetId="88" r:id="rId88"/>
    <s:sheet name="PM155Q04S" sheetId="89" r:id="rId89"/>
    <s:sheet name="PM411Q01" sheetId="90" r:id="rId90"/>
    <s:sheet name="PM411Q02S" sheetId="91" r:id="rId91"/>
    <s:sheet name="PM803Q01S" sheetId="92" r:id="rId92"/>
    <s:sheet name="PM442Q02" sheetId="93" r:id="rId93"/>
    <s:sheet name="PM462Q01" sheetId="94" r:id="rId94"/>
    <s:sheet name="PM034Q01S" sheetId="95" r:id="rId95"/>
    <s:sheet name="PM305Q01S" sheetId="96" r:id="rId96"/>
    <s:sheet name="PM496Q01S" sheetId="97" r:id="rId97"/>
    <s:sheet name="PM496Q02" sheetId="98" r:id="rId98"/>
    <s:sheet name="PM423Q01S" sheetId="99" r:id="rId99"/>
    <s:sheet name="PM192Q01S" sheetId="100" r:id="rId100"/>
    <s:sheet name="PM406Q01" sheetId="101" r:id="rId101"/>
    <s:sheet name="PM406Q02" sheetId="102" r:id="rId102"/>
    <s:sheet name="PM603Q01S" sheetId="103" r:id="rId103"/>
    <s:sheet name="PM571Q01S" sheetId="104" r:id="rId104"/>
    <s:sheet name="PM564Q01S" sheetId="105" r:id="rId105"/>
    <s:sheet name="PM564Q02S" sheetId="106" r:id="rId106"/>
    <s:sheet name="PM447Q01S" sheetId="107" r:id="rId107"/>
    <s:sheet name="PM273Q01S" sheetId="108" r:id="rId108"/>
    <s:sheet name="PM408Q01S" sheetId="109" r:id="rId109"/>
    <s:sheet name="PM420Q01S" sheetId="110" r:id="rId110"/>
    <s:sheet name="PM446Q01" sheetId="111" r:id="rId111"/>
    <s:sheet name="PM446Q02" sheetId="112" r:id="rId112"/>
    <s:sheet name="PM559Q01S" sheetId="113" r:id="rId113"/>
    <s:sheet name="PM828Q01" sheetId="114" r:id="rId114"/>
    <s:sheet name="PM828Q02" sheetId="115" r:id="rId115"/>
    <s:sheet name="PM828Q03" sheetId="116" r:id="rId116"/>
    <s:sheet name="PM464Q01S" sheetId="117" r:id="rId117"/>
    <s:sheet name="PM800Q01S" sheetId="118" r:id="rId118"/>
    <s:sheet name="PM982Q01" sheetId="119" r:id="rId119"/>
    <s:sheet name="PM982Q02" sheetId="120" r:id="rId120"/>
    <s:sheet name="PM982Q03S" sheetId="121" r:id="rId121"/>
    <s:sheet name="PM982Q04S" sheetId="122" r:id="rId122"/>
    <s:sheet name="PM992Q01" sheetId="123" r:id="rId123"/>
    <s:sheet name="PM992Q02" sheetId="124" r:id="rId124"/>
    <s:sheet name="PM992Q03" sheetId="125" r:id="rId125"/>
    <s:sheet name="PM915Q01S" sheetId="126" r:id="rId126"/>
    <s:sheet name="PM915Q02" sheetId="127" r:id="rId127"/>
    <s:sheet name="PM906Q01S" sheetId="128" r:id="rId128"/>
    <s:sheet name="PM906Q02" sheetId="129" r:id="rId129"/>
    <s:sheet name="PM00KQ02" sheetId="130" r:id="rId130"/>
    <s:sheet name="PM909Q01" sheetId="131" r:id="rId131"/>
    <s:sheet name="PM909Q02S" sheetId="132" r:id="rId132"/>
    <s:sheet name="PM909Q03" sheetId="133" r:id="rId133"/>
    <s:sheet name="PM949Q01S" sheetId="134" r:id="rId134"/>
    <s:sheet name="PM949Q02S" sheetId="135" r:id="rId135"/>
    <s:sheet name="PM949Q03" sheetId="136" r:id="rId136"/>
    <s:sheet name="PM00GQ01" sheetId="137" r:id="rId137"/>
    <s:sheet name="PM955Q01" sheetId="138" r:id="rId138"/>
    <s:sheet name="PM955Q02" sheetId="139" r:id="rId139"/>
    <s:sheet name="PM955Q03" sheetId="140" r:id="rId140"/>
    <s:sheet name="PM998Q02" sheetId="141" r:id="rId141"/>
    <s:sheet name="PM998Q04S" sheetId="142" r:id="rId142"/>
    <s:sheet name="PM905Q01S" sheetId="143" r:id="rId143"/>
    <s:sheet name="PM905Q02" sheetId="144" r:id="rId144"/>
    <s:sheet name="PM919Q01" sheetId="145" r:id="rId145"/>
    <s:sheet name="PM919Q02" sheetId="146" r:id="rId146"/>
    <s:sheet name="PM954Q01" sheetId="147" r:id="rId147"/>
    <s:sheet name="PM954Q02" sheetId="148" r:id="rId148"/>
    <s:sheet name="PM954Q04" sheetId="149" r:id="rId149"/>
    <s:sheet name="PM943Q01S" sheetId="150" r:id="rId150"/>
    <s:sheet name="PM943Q02" sheetId="151" r:id="rId151"/>
    <s:sheet name="PM953Q02" sheetId="152" r:id="rId152"/>
    <s:sheet name="PM953Q03" sheetId="153" r:id="rId153"/>
    <s:sheet name="PM953Q04" sheetId="154" r:id="rId154"/>
    <s:sheet name="PM948Q01S" sheetId="155" r:id="rId155"/>
    <s:sheet name="PM948Q02" sheetId="156" r:id="rId156"/>
    <s:sheet name="PM948Q03" sheetId="157" r:id="rId157"/>
    <s:sheet name="PM936Q01" sheetId="158" r:id="rId158"/>
    <s:sheet name="PM936Q02" sheetId="159" r:id="rId159"/>
    <s:sheet name="PM961Q02" sheetId="160" r:id="rId160"/>
    <s:sheet name="PM961Q03S" sheetId="161" r:id="rId161"/>
    <s:sheet name="PM961Q05" sheetId="162" r:id="rId162"/>
    <s:sheet name="PM939Q01S" sheetId="163" r:id="rId163"/>
    <s:sheet name="PM939Q02S" sheetId="164" r:id="rId164"/>
    <s:sheet name="PM967Q01" sheetId="165" r:id="rId165"/>
    <s:sheet name="PM967Q03S" sheetId="166" r:id="rId166"/>
  </s:sheets>
  <s:definedNames/>
  <s:calcPr calcId="124519" fullCalcOnLoad="1"/>
</s:workbook>
</file>

<file path=xl/sharedStrings.xml><?xml version="1.0" encoding="utf-8"?>
<sst xmlns="http://schemas.openxmlformats.org/spreadsheetml/2006/main" uniqueCount="617">
  <si>
    <t>Table of Contents</t>
  </si>
  <si>
    <t>CM033Q01S</t>
  </si>
  <si>
    <t>A View Room - Q01 (Scored Response)</t>
  </si>
  <si>
    <t>CM474Q01S</t>
  </si>
  <si>
    <t>Running Time - Q01 (Scored Response)</t>
  </si>
  <si>
    <t>DM155Q02C</t>
  </si>
  <si>
    <t>Population Pyramids - Q02 (Coded Response)</t>
  </si>
  <si>
    <t>CM155Q01S</t>
  </si>
  <si>
    <t>Population Pyramids - Q01 (Scored Response)</t>
  </si>
  <si>
    <t>DM155Q03C</t>
  </si>
  <si>
    <t>Population Pyramids - Q03 (Coded Response)</t>
  </si>
  <si>
    <t>CM155Q04S</t>
  </si>
  <si>
    <t>Population Pyramids - Q04 (Scored Response)</t>
  </si>
  <si>
    <t>CM411Q01S</t>
  </si>
  <si>
    <t>Diving - Q01 (Scored Response)</t>
  </si>
  <si>
    <t>CM411Q02S</t>
  </si>
  <si>
    <t>Diving - Q02 (Scored Response)</t>
  </si>
  <si>
    <t>CM803Q01S</t>
  </si>
  <si>
    <t>Labels - Q01 (Scored Response)</t>
  </si>
  <si>
    <t>CM442Q02S</t>
  </si>
  <si>
    <t>Braille - Q02 (Scored Response)</t>
  </si>
  <si>
    <t>DM462Q01C</t>
  </si>
  <si>
    <t>Third Side - Q01 (Coded Response)</t>
  </si>
  <si>
    <t>CM034Q01S</t>
  </si>
  <si>
    <t>Bricks - Q01 (Scored Response)</t>
  </si>
  <si>
    <t>CM305Q01S</t>
  </si>
  <si>
    <t>Map - Q01 (Scored Response)</t>
  </si>
  <si>
    <t>CM496Q01S</t>
  </si>
  <si>
    <t>Cash Withdrawal - Q01 (Scored Response)</t>
  </si>
  <si>
    <t>CM496Q02S</t>
  </si>
  <si>
    <t>Cash Withdrawal - Q02 (Scored Response)</t>
  </si>
  <si>
    <t>CM423Q01S</t>
  </si>
  <si>
    <t>Tossing Coins - Q01 (Scored Response)</t>
  </si>
  <si>
    <t>CM192Q01S</t>
  </si>
  <si>
    <t>Containers - Q01 (Scored Response)</t>
  </si>
  <si>
    <t>DM406Q01C</t>
  </si>
  <si>
    <t>Running Tracks - Q01 (Coded Response)</t>
  </si>
  <si>
    <t>DM406Q02C</t>
  </si>
  <si>
    <t>Running Tracks - Q02 (Coded Response)</t>
  </si>
  <si>
    <t>CM603Q01S</t>
  </si>
  <si>
    <t>Number Check - Q01 (Scored Response)</t>
  </si>
  <si>
    <t>CM571Q01S</t>
  </si>
  <si>
    <t>Stop The Car - Q01 (Scored Response)</t>
  </si>
  <si>
    <t>CM564Q01S</t>
  </si>
  <si>
    <t>Chair Lift - Q01 (Scored Response)</t>
  </si>
  <si>
    <t>CM564Q02S</t>
  </si>
  <si>
    <t>Chair Lift - Q02 (Scored Response)</t>
  </si>
  <si>
    <t>CM447Q01S</t>
  </si>
  <si>
    <t>Tile Arrangement - Q01 (Scored Response)</t>
  </si>
  <si>
    <t>CM273Q01S</t>
  </si>
  <si>
    <t>Pipelines - Q01 (Scored Response)</t>
  </si>
  <si>
    <t>CM408Q01S</t>
  </si>
  <si>
    <t>Lotteries - Q01 (Scored Response)</t>
  </si>
  <si>
    <t>CM420Q01S</t>
  </si>
  <si>
    <t>Transport - Q01 (Scored Response)</t>
  </si>
  <si>
    <t>CM446Q01S</t>
  </si>
  <si>
    <t>Thermometer Cricket - Q01 (Scored Response)</t>
  </si>
  <si>
    <t>DM446Q02C</t>
  </si>
  <si>
    <t>Thermometer Cricket - Q02 (Coded Response)</t>
  </si>
  <si>
    <t>CM559Q01S</t>
  </si>
  <si>
    <t>Telephone Rates - Q01 (Scored Response)</t>
  </si>
  <si>
    <t>DM828Q02C</t>
  </si>
  <si>
    <t>Carbon Dioxide - Q02 (Coded Response)</t>
  </si>
  <si>
    <t>CM828Q03S</t>
  </si>
  <si>
    <t>Carbon Dioxide - Q03 (Scored Response)</t>
  </si>
  <si>
    <t>CM464Q01S</t>
  </si>
  <si>
    <t>Fence - Q01 (Scored Response)</t>
  </si>
  <si>
    <t>CM800Q01S</t>
  </si>
  <si>
    <t>Computer Game - Q01 (Scored Response)</t>
  </si>
  <si>
    <t>CM982Q01S</t>
  </si>
  <si>
    <t>Employment Data - Q01 (Scored Response)</t>
  </si>
  <si>
    <t>CM982Q02S</t>
  </si>
  <si>
    <t>Employment Data - Q02 (Scored Response)</t>
  </si>
  <si>
    <t>CM982Q03S</t>
  </si>
  <si>
    <t>Employment Data - Q03 (Scored Response)</t>
  </si>
  <si>
    <t>CM982Q04S</t>
  </si>
  <si>
    <t>Employment Data - Q04 (Scored Response)</t>
  </si>
  <si>
    <t>CM992Q01S</t>
  </si>
  <si>
    <t>Spacers - Q01 (Scored Response)</t>
  </si>
  <si>
    <t>CM992Q02S</t>
  </si>
  <si>
    <t>Spacers - Q02 (Scored Response)</t>
  </si>
  <si>
    <t>DM992Q03C</t>
  </si>
  <si>
    <t>Spacers - Q03 (Coded Response)</t>
  </si>
  <si>
    <t>CM915Q01S</t>
  </si>
  <si>
    <t>Carbon Tax - Q01 (Scored Response)</t>
  </si>
  <si>
    <t>CM915Q02S</t>
  </si>
  <si>
    <t>Carbon Tax - Q02 (Scored Response)</t>
  </si>
  <si>
    <t>CM906Q01S</t>
  </si>
  <si>
    <t>Crazy Ants - Q01 (Scored Response)</t>
  </si>
  <si>
    <t>DM906Q02C</t>
  </si>
  <si>
    <t>Crazy Ants - Q02 (Coded Response)</t>
  </si>
  <si>
    <t>DM00KQ02C</t>
  </si>
  <si>
    <t>Wheelchair Basketball - Q02 (Coded Response)</t>
  </si>
  <si>
    <t>CM909Q01S</t>
  </si>
  <si>
    <t>Speeding Fines - Q01 (Scored Response)</t>
  </si>
  <si>
    <t>CM909Q02S</t>
  </si>
  <si>
    <t>Speeding Fines - Q02 (Scored Response)</t>
  </si>
  <si>
    <t>CM909Q03S</t>
  </si>
  <si>
    <t>Speeding Fines - Q03 (Scored Response)</t>
  </si>
  <si>
    <t>CM949Q01S</t>
  </si>
  <si>
    <t>Roof Truss Design - Q01 (Scored Response)</t>
  </si>
  <si>
    <t>CM949Q02S</t>
  </si>
  <si>
    <t>Roof Truss Design - Q02 (Scored Response)</t>
  </si>
  <si>
    <t>DM949Q03C</t>
  </si>
  <si>
    <t>Roof Truss Design - Q03 (Coded Response)</t>
  </si>
  <si>
    <t>CM00GQ01S</t>
  </si>
  <si>
    <t>Advertising Column - Q01 (Scored Response)</t>
  </si>
  <si>
    <t>DM955Q01C</t>
  </si>
  <si>
    <t>Migration - Q01 (Coded Response)</t>
  </si>
  <si>
    <t>DM955Q02C</t>
  </si>
  <si>
    <t>Migration - Q02 (Coded Response)</t>
  </si>
  <si>
    <t>CM955Q03S</t>
  </si>
  <si>
    <t>Migration - Q03 (Scored Response)</t>
  </si>
  <si>
    <t>DM998Q02C</t>
  </si>
  <si>
    <t>Bike Rental - Q02 (Coded Response)</t>
  </si>
  <si>
    <t>CM998Q04S</t>
  </si>
  <si>
    <t>Bike Rental - Q04 (Scored Response)</t>
  </si>
  <si>
    <t>CM905Q01S</t>
  </si>
  <si>
    <t>Tennis balls - Q01 (Scored Response)</t>
  </si>
  <si>
    <t>DM905Q02C</t>
  </si>
  <si>
    <t>Tennis balls - Q02 (Coded Response)</t>
  </si>
  <si>
    <t>CM919Q01S</t>
  </si>
  <si>
    <t>Fan Merchandise - Q01 (Scored Response)</t>
  </si>
  <si>
    <t>CM919Q02S</t>
  </si>
  <si>
    <t>Fan Merchandise - Q02 (Scored Response)</t>
  </si>
  <si>
    <t>CM954Q01S</t>
  </si>
  <si>
    <t>Medicine doses - Q01 (Scored Response)</t>
  </si>
  <si>
    <t>DM954Q02C</t>
  </si>
  <si>
    <t>Medicine doses - Q02 (Coded Response)</t>
  </si>
  <si>
    <t>CM954Q04S</t>
  </si>
  <si>
    <t>Medicine doses - Q04 (Scored Response)</t>
  </si>
  <si>
    <t>CM943Q01S</t>
  </si>
  <si>
    <t>Arches - Q01 (Scored Response)</t>
  </si>
  <si>
    <t>CM943Q02S</t>
  </si>
  <si>
    <t>Arches - Q02 (Scored Response)</t>
  </si>
  <si>
    <t>DM953Q02C</t>
  </si>
  <si>
    <t>Flu test - Q02 (Coded Response)</t>
  </si>
  <si>
    <t>CM953Q03S</t>
  </si>
  <si>
    <t>Flu test - Q03 (Scored Response)</t>
  </si>
  <si>
    <t>DM953Q04C</t>
  </si>
  <si>
    <t>Flu test - Q04 (Coded Response)</t>
  </si>
  <si>
    <t>CM948Q01S</t>
  </si>
  <si>
    <t>Part Time Work - Q01 (Scored Response)</t>
  </si>
  <si>
    <t>CM948Q02S</t>
  </si>
  <si>
    <t>Part Time Work - Q02 (Scored Response)</t>
  </si>
  <si>
    <t>CM948Q03S</t>
  </si>
  <si>
    <t>Part Time Work - Q03 (Scored Response)</t>
  </si>
  <si>
    <t>CM936Q01S</t>
  </si>
  <si>
    <t>Seats in a Theatre - Q01 (Scored Response)</t>
  </si>
  <si>
    <t>DM936Q02C</t>
  </si>
  <si>
    <t>Seats in a Theatre - Q02 (Coded Response)</t>
  </si>
  <si>
    <t>DM961Q02C</t>
  </si>
  <si>
    <t>Chocolate - Q02 (Coded Response)</t>
  </si>
  <si>
    <t>CM961Q03S</t>
  </si>
  <si>
    <t>Chocolate - Q03 (Scored Response)</t>
  </si>
  <si>
    <t>DM961Q05C</t>
  </si>
  <si>
    <t>Chocolate - Q05 (Coded Response)</t>
  </si>
  <si>
    <t>CM939Q01S</t>
  </si>
  <si>
    <t>Racing - Q01 (Scored Response)</t>
  </si>
  <si>
    <t>CM939Q02S</t>
  </si>
  <si>
    <t>Racing - Q02 (Scored Response)</t>
  </si>
  <si>
    <t>CM967Q01S</t>
  </si>
  <si>
    <t>Wooden Train Set - Q01 (Scored Response)</t>
  </si>
  <si>
    <t>CM967Q03S</t>
  </si>
  <si>
    <t>Wooden Train Set - Q03 (Scored Response)</t>
  </si>
  <si>
    <t>PM033Q01S</t>
  </si>
  <si>
    <t>A View Room - Q01 (Paper Scored Response)</t>
  </si>
  <si>
    <t>PM474Q01</t>
  </si>
  <si>
    <t>Running Time - Q01 (Coded Paper Response)</t>
  </si>
  <si>
    <t>PM155Q02</t>
  </si>
  <si>
    <t>Population Pyramids - Q02 (Coded Paper Response)</t>
  </si>
  <si>
    <t>PM155Q01</t>
  </si>
  <si>
    <t>Population Pyramids - Q01 (Coded Paper Response)</t>
  </si>
  <si>
    <t>PM155Q03</t>
  </si>
  <si>
    <t>Population Pyramids - Q03 (Coded Paper Response)</t>
  </si>
  <si>
    <t>PM155Q04S</t>
  </si>
  <si>
    <t>Population Pyramids - Q04 (Paper Scored Response)</t>
  </si>
  <si>
    <t>PM411Q01</t>
  </si>
  <si>
    <t>Diving - Q01 (Coded Paper Response)</t>
  </si>
  <si>
    <t>PM411Q02S</t>
  </si>
  <si>
    <t>Diving - Q02 (Paper Scored Response)</t>
  </si>
  <si>
    <t>PM803Q01S</t>
  </si>
  <si>
    <t>Labels - Q01 (Paper Scored Response)</t>
  </si>
  <si>
    <t>PM442Q02</t>
  </si>
  <si>
    <t>Braille - Q02 (Coded Paper Response)</t>
  </si>
  <si>
    <t>PM462Q01</t>
  </si>
  <si>
    <t>Third Side - Q01 (Coded Paper Response)</t>
  </si>
  <si>
    <t>PM034Q01S</t>
  </si>
  <si>
    <t>Bricks - Q01 (Paper Scored Response)</t>
  </si>
  <si>
    <t>PM305Q01S</t>
  </si>
  <si>
    <t>Map - Q01 (Paper Scored Response)</t>
  </si>
  <si>
    <t>PM496Q01S</t>
  </si>
  <si>
    <t>Cash Withdrawal - Q01 (Paper Scored Response)</t>
  </si>
  <si>
    <t>PM496Q02</t>
  </si>
  <si>
    <t>Cash Withdrawal - Q02 (Coded Paper Response)</t>
  </si>
  <si>
    <t>PM423Q01S</t>
  </si>
  <si>
    <t>Tossing Coins - Q01 (Paper Scored Response)</t>
  </si>
  <si>
    <t>PM192Q01S</t>
  </si>
  <si>
    <t>Containers - Q01 (Paper Scored Response)</t>
  </si>
  <si>
    <t>PM406Q01</t>
  </si>
  <si>
    <t>Running Tracks - Q01 (Coded Paper Response)</t>
  </si>
  <si>
    <t>PM406Q02</t>
  </si>
  <si>
    <t>Running Tracks - Q02 (Coded Paper Response)</t>
  </si>
  <si>
    <t>PM603Q01S</t>
  </si>
  <si>
    <t>Number Check - Q01 (Paper Scored Response)</t>
  </si>
  <si>
    <t>PM571Q01S</t>
  </si>
  <si>
    <t>Stop The Car - Q01 (Paper Scored Response)</t>
  </si>
  <si>
    <t>PM564Q01S</t>
  </si>
  <si>
    <t>Chair Lift - Q01 (Paper Scored Response)</t>
  </si>
  <si>
    <t>PM564Q02S</t>
  </si>
  <si>
    <t>Chair Lift - Q02 (Paper Scored Response)</t>
  </si>
  <si>
    <t>PM447Q01S</t>
  </si>
  <si>
    <t>Tile Arrangement - Q01 (Paper Scored Response)</t>
  </si>
  <si>
    <t>PM273Q01S</t>
  </si>
  <si>
    <t>Pipelines - Q01 (Paper Scored Response)</t>
  </si>
  <si>
    <t>PM408Q01S</t>
  </si>
  <si>
    <t>Lotteries - Q01 (Paper Scored Response)</t>
  </si>
  <si>
    <t>PM420Q01S</t>
  </si>
  <si>
    <t>Transport - Q01 (Paper Scored Response)</t>
  </si>
  <si>
    <t>PM446Q01</t>
  </si>
  <si>
    <t>Thermometer Cricket - Q01 (Coded Paper Response)</t>
  </si>
  <si>
    <t>PM446Q02</t>
  </si>
  <si>
    <t>Thermometer Cricket - Q02 (Coded Paper Response)</t>
  </si>
  <si>
    <t>PM559Q01S</t>
  </si>
  <si>
    <t>Telephone Rates - Q01 (Paper Scored Response)</t>
  </si>
  <si>
    <t>PM828Q01</t>
  </si>
  <si>
    <t>Carbon Dioxide - Q01 (Coded Paper Response)</t>
  </si>
  <si>
    <t>PM828Q02</t>
  </si>
  <si>
    <t>Carbon Dioxide - Q02 (Coded Paper Response)</t>
  </si>
  <si>
    <t>PM828Q03</t>
  </si>
  <si>
    <t>Carbon Dioxide - Q03 (Coded Paper Response)</t>
  </si>
  <si>
    <t>PM464Q01S</t>
  </si>
  <si>
    <t>Fence - Q01 (Paper Scored Response)</t>
  </si>
  <si>
    <t>PM800Q01S</t>
  </si>
  <si>
    <t>Computer Game - Q01 (Paper Scored Response)</t>
  </si>
  <si>
    <t>PM982Q01</t>
  </si>
  <si>
    <t>Employment Data - Q01 (Coded Paper Response)</t>
  </si>
  <si>
    <t>PM982Q02</t>
  </si>
  <si>
    <t>Employment Data - Q02 (Coded Paper Response)</t>
  </si>
  <si>
    <t>PM982Q03S</t>
  </si>
  <si>
    <t>Employment Data - Q03 (Paper Scored Response)</t>
  </si>
  <si>
    <t>PM982Q04S</t>
  </si>
  <si>
    <t>Employment Data - Q04 (Paper Scored Response)</t>
  </si>
  <si>
    <t>PM992Q01</t>
  </si>
  <si>
    <t>Spacers - Q01 (Coded Paper Response)</t>
  </si>
  <si>
    <t>PM992Q02</t>
  </si>
  <si>
    <t>Spacers - Q02 (Coded Paper Response)</t>
  </si>
  <si>
    <t>PM992Q03</t>
  </si>
  <si>
    <t>Spacers - Q03 (Coded Paper Response)</t>
  </si>
  <si>
    <t>PM915Q01S</t>
  </si>
  <si>
    <t>Carbon Tax - Q01 (Paper Scored Response)</t>
  </si>
  <si>
    <t>PM915Q02</t>
  </si>
  <si>
    <t>Carbon Tax - Q02 (Coded Paper Response)</t>
  </si>
  <si>
    <t>PM906Q01S</t>
  </si>
  <si>
    <t>Crazy Ants - Q01 (Paper Scored Response)</t>
  </si>
  <si>
    <t>PM906Q02</t>
  </si>
  <si>
    <t>Crazy Ants - Q02 (Coded Paper Response)</t>
  </si>
  <si>
    <t>PM00KQ02</t>
  </si>
  <si>
    <t>Wheelchair Basketball - Q02 (Coded Paper Response)</t>
  </si>
  <si>
    <t>PM909Q01</t>
  </si>
  <si>
    <t>Speeding Fines - Q01 (Coded Paper Response)</t>
  </si>
  <si>
    <t>PM909Q02S</t>
  </si>
  <si>
    <t>Speeding Fines - Q02 (Paper Scored Response)</t>
  </si>
  <si>
    <t>PM909Q03</t>
  </si>
  <si>
    <t>Speeding Fines - Q03 (Coded Paper Response)</t>
  </si>
  <si>
    <t>PM949Q01S</t>
  </si>
  <si>
    <t>Roof Truss Design - Q01 (Paper Scored Response)</t>
  </si>
  <si>
    <t>PM949Q02S</t>
  </si>
  <si>
    <t>Roof Truss Design - Q02 (Paper Scored Response)</t>
  </si>
  <si>
    <t>PM949Q03</t>
  </si>
  <si>
    <t>Roof Truss Design - Q03 (Coded Paper Response)</t>
  </si>
  <si>
    <t>PM00GQ01</t>
  </si>
  <si>
    <t>Advertising Column - Q01 (Coded Paper Response)</t>
  </si>
  <si>
    <t>PM955Q01</t>
  </si>
  <si>
    <t>Migration - Q01 (Coded Paper Response)</t>
  </si>
  <si>
    <t>PM955Q02</t>
  </si>
  <si>
    <t>Migration - Q02 (Coded Paper Response)</t>
  </si>
  <si>
    <t>PM955Q03</t>
  </si>
  <si>
    <t>Migration - Q03 (Coded Paper Response)</t>
  </si>
  <si>
    <t>PM998Q02</t>
  </si>
  <si>
    <t>Bike Rental - Q02 (Coded Paper Response)</t>
  </si>
  <si>
    <t>PM998Q04S</t>
  </si>
  <si>
    <t>Bike Rental - Q04 (Paper Scored Response)</t>
  </si>
  <si>
    <t>PM905Q01S</t>
  </si>
  <si>
    <t>Tennis balls - Q01 (Paper Scored Response)</t>
  </si>
  <si>
    <t>PM905Q02</t>
  </si>
  <si>
    <t>Tennis balls - Q02 (Coded Paper Response)</t>
  </si>
  <si>
    <t>PM919Q01</t>
  </si>
  <si>
    <t>Fan Merchandise - Q01 (Coded Paper Response)</t>
  </si>
  <si>
    <t>PM919Q02</t>
  </si>
  <si>
    <t>Fan Merchandise - Q02 (Coded Paper Response)</t>
  </si>
  <si>
    <t>PM954Q01</t>
  </si>
  <si>
    <t>Medicine doses - Q01 (Coded Paper Response)</t>
  </si>
  <si>
    <t>PM954Q02</t>
  </si>
  <si>
    <t>Medicine doses - Q02 (Coded Paper Response)</t>
  </si>
  <si>
    <t>PM954Q04</t>
  </si>
  <si>
    <t>Medicine doses - Q04 (Coded Paper Response)</t>
  </si>
  <si>
    <t>PM943Q01S</t>
  </si>
  <si>
    <t>Arches - Q01 (Paper Scored Response)</t>
  </si>
  <si>
    <t>PM943Q02</t>
  </si>
  <si>
    <t>Arches - Q02 (Coded Paper Response)</t>
  </si>
  <si>
    <t>PM953Q02</t>
  </si>
  <si>
    <t>Flu test - Q02 (Coded Paper Response)</t>
  </si>
  <si>
    <t>PM953Q03</t>
  </si>
  <si>
    <t>Flu test - Q03 (Coded Paper Response)</t>
  </si>
  <si>
    <t>PM953Q04</t>
  </si>
  <si>
    <t>Flu test - Q04 (Coded Paper Response)</t>
  </si>
  <si>
    <t>PM948Q01S</t>
  </si>
  <si>
    <t>Part Time Work - Q01 (Paper Scored Response)</t>
  </si>
  <si>
    <t>PM948Q02</t>
  </si>
  <si>
    <t>Part Time Work - Q02 (Coded Paper Response)</t>
  </si>
  <si>
    <t>PM948Q03</t>
  </si>
  <si>
    <t>Part Time Work - Q03 (Coded Paper Response)</t>
  </si>
  <si>
    <t>PM936Q01</t>
  </si>
  <si>
    <t>Seats in a Theatre - Q01 (Coded Paper Response)</t>
  </si>
  <si>
    <t>PM936Q02</t>
  </si>
  <si>
    <t>Seats in a Theatre - Q02 (Coded Paper Response)</t>
  </si>
  <si>
    <t>PM961Q02</t>
  </si>
  <si>
    <t>Chocolate - Q02 (Coded Paper Response)</t>
  </si>
  <si>
    <t>PM961Q03S</t>
  </si>
  <si>
    <t>Chocolate - Q03 (Paper Scored Response)</t>
  </si>
  <si>
    <t>PM961Q05</t>
  </si>
  <si>
    <t>Chocolate - Q05 (Coded Paper Response)</t>
  </si>
  <si>
    <t>PM939Q01S</t>
  </si>
  <si>
    <t>Racing - Q01 (Paper Scored Response)</t>
  </si>
  <si>
    <t>PM939Q02S</t>
  </si>
  <si>
    <t>Racing - Q02 (Paper Scored Response)</t>
  </si>
  <si>
    <t>PM967Q01</t>
  </si>
  <si>
    <t>Wooden Train Set - Q01 (Coded Paper Response)</t>
  </si>
  <si>
    <t>PM967Q03S</t>
  </si>
  <si>
    <t>Wooden Train Set - Q03 (Paper Scored Response)</t>
  </si>
  <si>
    <t>Cognitive items: Mathematics results for female students</t>
  </si>
  <si>
    <t>CM033Q01S: A View Room - Q01 (Scored Response)</t>
  </si>
  <si>
    <t>N</t>
  </si>
  <si>
    <t>System</t>
  </si>
  <si>
    <t>No credit</t>
  </si>
  <si>
    <t>Full credit</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</si>
  <si>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</si>
  <si>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</si>
  <si>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</si>
  <si>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</si>
  <si>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</si>
  <si>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</si>
  <si>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</si>
  <si>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</si>
  <si>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</si>
  <si>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</si>
  <si>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</si>
  <si>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</si>
  <si>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</si>
  <si>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</si>
  <si>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</si>
  <si>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</si>
  <si>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</si>
  <si>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</si>
  <si>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</si>
  <si>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</si>
  <si>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</si>
  <si>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</si>
  <si>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</si>
  <si>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</si>
  <si>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</si>
  <si>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</si>
  <si>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</si>
  <si>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</si>
  <si>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</si>
  <si>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</si>
  <si>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</si>
  <si>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</si>
  <si>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</si>
  <si>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</si>
  <si>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</si>
  <si>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</si>
  <si>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</si>
  <si>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</si>
  <si>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</si>
  <si>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</si>
  <si>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</si>
  <si>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</si>
  <si>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</si>
  <si>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</si>
  <si>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</si>
  <si>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</si>
  <si>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</si>
  <si>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</si>
  <si>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</si>
  <si>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</si>
  <si>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</si>
  <si>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</si>
  <si>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</si>
  <si>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</si>
  <si>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</si>
  <si>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</si>
  <si>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</si>
  <si>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</si>
  <si>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</si>
  <si>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</si>
  <si>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</si>
  <si>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</si>
  <si>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</si>
  <si>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</si>
  <si>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</si>
  <si>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</si>
  <si>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</si>
  <si>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</si>
  <si>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</si>
  <si>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</si>
  <si>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</si>
  <si>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</si>
  <si>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</si>
  <si>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</si>
  <si>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</si>
  <si>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</si>
  <si>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</si>
  <si>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</si>
  <si>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</si>
  <si>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</si>
  <si>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</si>
  <si>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</si>
  <si>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</si>
  <si>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</si>
  <si>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</si>
  <si>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</si>
  <si>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</si>
  <si>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</si>
  <si>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</si>
  <si>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</si>
  <si>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</si>
  <si>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cognitive questions refers to the percentage of data missing because a respondent did not see a question. This may have occurred when the student did not receive a particular set of questions (cluster) by design, exited the assessment early, ran out of time,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</si>
  <si>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</si>
  <si>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</si>
  <si>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</si>
  <si>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</si>
  <si>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</si>
  <si>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</si>
  <si>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</si>
  <si>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</si>
  <si>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</si>
  <si>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CM474Q01S: Running Time - Q01 (Scored Response)</t>
  </si>
  <si>
    <t>DM155Q02C: Population Pyramids - Q02 (Coded Response)</t>
  </si>
  <si>
    <t>00 - No credit</t>
  </si>
  <si>
    <t>11 - Partial credit</t>
  </si>
  <si>
    <t>12 - Partial credit</t>
  </si>
  <si>
    <t>13 - Partial credit</t>
  </si>
  <si>
    <t>21 - Full credit</t>
  </si>
  <si>
    <t>CM155Q01S: Population Pyramids - Q01 (Scored Response)</t>
  </si>
  <si>
    <t>DM155Q03C: Population Pyramids - Q03 (Coded Response)</t>
  </si>
  <si>
    <t>22 - Full credit</t>
  </si>
  <si>
    <t>23 - Full credit</t>
  </si>
  <si>
    <t>CM155Q04S: Population Pyramids - Q04 (Scored Response)</t>
  </si>
  <si>
    <t>CM411Q01S: Diving - Q01 (Scored Response)</t>
  </si>
  <si>
    <t>CM411Q02S: Diving - Q02 (Scored Response)</t>
  </si>
  <si>
    <t>CM803Q01S: Labels - Q01 (Scored Response)</t>
  </si>
  <si>
    <t>CM442Q02S: Braille - Q02 (Scored Response)</t>
  </si>
  <si>
    <t>DM462Q01C: Third Side - Q01 (Coded Response)</t>
  </si>
  <si>
    <t>01 - No credit</t>
  </si>
  <si>
    <t>02 - No credit</t>
  </si>
  <si>
    <t>CM034Q01S: Bricks - Q01 (Scored Response)</t>
  </si>
  <si>
    <t>CM305Q01S: Map - Q01 (Scored Response)</t>
  </si>
  <si>
    <t>CM496Q01S: Cash Withdrawal - Q01 (Scored Response)</t>
  </si>
  <si>
    <t>CM496Q02S: Cash Withdrawal - Q02 (Scored Response)</t>
  </si>
  <si>
    <t>CM423Q01S: Tossing Coins - Q01 (Scored Response)</t>
  </si>
  <si>
    <t>CM192Q01S: Containers - Q01 (Scored Response)</t>
  </si>
  <si>
    <t>DM406Q01C: Running Tracks - Q01 (Coded Response)</t>
  </si>
  <si>
    <t>0 - No credit</t>
  </si>
  <si>
    <t>1 - Full credit</t>
  </si>
  <si>
    <t>DM406Q02C: Running Tracks - Q02 (Coded Response)</t>
  </si>
  <si>
    <t>CM603Q01S: Number Check - Q01 (Scored Response)</t>
  </si>
  <si>
    <t>CM571Q01S: Stop The Car - Q01 (Scored Response)</t>
  </si>
  <si>
    <t>CM564Q01S: Chair Lift - Q01 (Scored Response)</t>
  </si>
  <si>
    <t>CM564Q02S: Chair Lift - Q02 (Scored Response)</t>
  </si>
  <si>
    <t>CM447Q01S: Tile Arrangement - Q01 (Scored Response)</t>
  </si>
  <si>
    <t>CM273Q01S: Pipelines - Q01 (Scored Response)</t>
  </si>
  <si>
    <t>CM408Q01S: Lotteries - Q01 (Scored Response)</t>
  </si>
  <si>
    <t>CM420Q01S: Transport - Q01 (Scored Response)</t>
  </si>
  <si>
    <t>CM446Q01S: Thermometer Cricket - Q01 (Scored Response)</t>
  </si>
  <si>
    <t>DM446Q02C: Thermometer Cricket - Q02 (Coded Response)</t>
  </si>
  <si>
    <t>CM559Q01S: Telephone Rates - Q01 (Scored Response)</t>
  </si>
  <si>
    <t>DM828Q02C: Carbon Dioxide - Q02 (Coded Response)</t>
  </si>
  <si>
    <t>CM828Q03S: Carbon Dioxide - Q03 (Scored Response)</t>
  </si>
  <si>
    <t>CM464Q01S: Fence - Q01 (Scored Response)</t>
  </si>
  <si>
    <t>CM800Q01S: Computer Game - Q01 (Scored Response)</t>
  </si>
  <si>
    <t>CM982Q01S: Employment Data - Q01 (Scored Response)</t>
  </si>
  <si>
    <t>CM982Q02S: Employment Data - Q02 (Scored Response)</t>
  </si>
  <si>
    <t>CM982Q03S: Employment Data - Q03 (Scored Response)</t>
  </si>
  <si>
    <t>CM982Q04S: Employment Data - Q04 (Scored Response)</t>
  </si>
  <si>
    <t>CM992Q01S: Spacers - Q01 (Scored Response)</t>
  </si>
  <si>
    <t>CM992Q02S: Spacers - Q02 (Scored Response)</t>
  </si>
  <si>
    <t>DM992Q03C: Spacers - Q03 (Coded Response)</t>
  </si>
  <si>
    <t>CM915Q01S: Carbon Tax - Q01 (Scored Response)</t>
  </si>
  <si>
    <t>CM915Q02S: Carbon Tax - Q02 (Scored Response)</t>
  </si>
  <si>
    <t>CM906Q01S: Crazy Ants - Q01 (Scored Response)</t>
  </si>
  <si>
    <t>DM906Q02C: Crazy Ants - Q02 (Coded Response)</t>
  </si>
  <si>
    <t>1 - Partial credit</t>
  </si>
  <si>
    <t>2 - Full credit</t>
  </si>
  <si>
    <t>DM00KQ02C: Wheelchair Basketball - Q02 (Coded Response)</t>
  </si>
  <si>
    <t>CM909Q01S: Speeding Fines - Q01 (Scored Response)</t>
  </si>
  <si>
    <t>CM909Q02S: Speeding Fines - Q02 (Scored Response)</t>
  </si>
  <si>
    <t>CM909Q03S: Speeding Fines - Q03 (Scored Response)</t>
  </si>
  <si>
    <t>CM949Q01S: Roof Truss Design - Q01 (Scored Response)</t>
  </si>
  <si>
    <t>CM949Q02S: Roof Truss Design - Q02 (Scored Response)</t>
  </si>
  <si>
    <t>DM949Q03C: Roof Truss Design - Q03 (Coded Response)</t>
  </si>
  <si>
    <t>CM00GQ01S: Advertising Column - Q01 (Scored Response)</t>
  </si>
  <si>
    <t>DM955Q01C: Migration - Q01 (Coded Response)</t>
  </si>
  <si>
    <t>DM955Q02C: Migration - Q02 (Coded Response)</t>
  </si>
  <si>
    <t>CM955Q03S: Migration - Q03 (Scored Response)</t>
  </si>
  <si>
    <t>Partial credit</t>
  </si>
  <si>
    <t>DM998Q02C: Bike Rental - Q02 (Coded Response)</t>
  </si>
  <si>
    <t>CM998Q04S: Bike Rental - Q04 (Scored Response)</t>
  </si>
  <si>
    <t>CM905Q01S: Tennis balls - Q01 (Scored Response)</t>
  </si>
  <si>
    <t>DM905Q02C: Tennis balls - Q02 (Coded Response)</t>
  </si>
  <si>
    <t>CM919Q01S: Fan Merchandise - Q01 (Scored Response)</t>
  </si>
  <si>
    <t>CM919Q02S: Fan Merchandise - Q02 (Scored Response)</t>
  </si>
  <si>
    <t>CM954Q01S: Medicine doses - Q01 (Scored Response)</t>
  </si>
  <si>
    <t>DM954Q02C: Medicine doses - Q02 (Coded Response)</t>
  </si>
  <si>
    <t>CM954Q04S: Medicine doses - Q04 (Scored Response)</t>
  </si>
  <si>
    <t>CM943Q01S: Arches - Q01 (Scored Response)</t>
  </si>
  <si>
    <t>CM943Q02S: Arches - Q02 (Scored Response)</t>
  </si>
  <si>
    <t>DM953Q02C: Flu test - Q02 (Coded Response)</t>
  </si>
  <si>
    <t>CM953Q03S: Flu test - Q03 (Scored Response)</t>
  </si>
  <si>
    <t>DM953Q04C: Flu test - Q04 (Coded Response)</t>
  </si>
  <si>
    <t>CM948Q01S: Part Time Work - Q01 (Scored Response)</t>
  </si>
  <si>
    <t>CM948Q02S: Part Time Work - Q02 (Scored Response)</t>
  </si>
  <si>
    <t>CM948Q03S: Part Time Work - Q03 (Scored Response)</t>
  </si>
  <si>
    <t>CM936Q01S: Seats in a Theatre - Q01 (Scored Response)</t>
  </si>
  <si>
    <t>DM936Q02C: Seats in a Theatre - Q02 (Coded Response)</t>
  </si>
  <si>
    <t>DM961Q02C: Chocolate - Q02 (Coded Response)</t>
  </si>
  <si>
    <t>CM961Q03S: Chocolate - Q03 (Scored Response)</t>
  </si>
  <si>
    <t>DM961Q05C: Chocolate - Q05 (Coded Response)</t>
  </si>
  <si>
    <t>CM939Q01S: Racing - Q01 (Scored Response)</t>
  </si>
  <si>
    <t>CM939Q02S: Racing - Q02 (Scored Response)</t>
  </si>
  <si>
    <t>CM967Q01S: Wooden Train Set - Q01 (Scored Response)</t>
  </si>
  <si>
    <t>CM967Q03S: Wooden Train Set - Q03 (Scored Response)</t>
  </si>
  <si>
    <t>PM033Q01S: A View Room - Q01 (Paper Scored Response)</t>
  </si>
  <si>
    <t>PM474Q01: Running Time - Q01 (Coded Paper Response)</t>
  </si>
  <si>
    <t>PM155Q02: Population Pyramids - Q02 (Coded Paper Response)</t>
  </si>
  <si>
    <t>9 - No data (CBA only)</t>
  </si>
  <si>
    <t>PM155Q01: Population Pyramids - Q01 (Coded Paper Response)</t>
  </si>
  <si>
    <t>PM155Q03: Population Pyramids - Q03 (Coded Paper Response)</t>
  </si>
  <si>
    <t>PM155Q04S: Population Pyramids - Q04 (Paper Scored Response)</t>
  </si>
  <si>
    <t>PM411Q01: Diving - Q01 (Coded Paper Response)</t>
  </si>
  <si>
    <t>PM411Q02S: Diving - Q02 (Paper Scored Response)</t>
  </si>
  <si>
    <t>PM803Q01S: Labels - Q01 (Paper Scored Response)</t>
  </si>
  <si>
    <t>PM442Q02: Braille - Q02 (Coded Paper Response)</t>
  </si>
  <si>
    <t>PM462Q01: Third Side - Q01 (Coded Paper Response)</t>
  </si>
  <si>
    <t>PM034Q01S: Bricks - Q01 (Paper Scored Response)</t>
  </si>
  <si>
    <t>PM305Q01S: Map - Q01 (Paper Scored Response)</t>
  </si>
  <si>
    <t>PM496Q01S: Cash Withdrawal - Q01 (Paper Scored Response)</t>
  </si>
  <si>
    <t>PM496Q02: Cash Withdrawal - Q02 (Coded Paper Response)</t>
  </si>
  <si>
    <t>PM423Q01S: Tossing Coins - Q01 (Paper Scored Response)</t>
  </si>
  <si>
    <t>PM192Q01S: Containers - Q01 (Paper Scored Response)</t>
  </si>
  <si>
    <t>PM406Q01: Running Tracks - Q01 (Coded Paper Response)</t>
  </si>
  <si>
    <t>PM406Q02: Running Tracks - Q02 (Coded Paper Response)</t>
  </si>
  <si>
    <t>PM603Q01S: Number Check - Q01 (Paper Scored Response)</t>
  </si>
  <si>
    <t>PM571Q01S: Stop The Car - Q01 (Paper Scored Response)</t>
  </si>
  <si>
    <t>PM564Q01S: Chair Lift - Q01 (Paper Scored Response)</t>
  </si>
  <si>
    <t>PM564Q02S: Chair Lift - Q02 (Paper Scored Response)</t>
  </si>
  <si>
    <t>PM447Q01S: Tile Arrangement - Q01 (Paper Scored Response)</t>
  </si>
  <si>
    <t>PM273Q01S: Pipelines - Q01 (Paper Scored Response)</t>
  </si>
  <si>
    <t>PM408Q01S: Lotteries - Q01 (Paper Scored Response)</t>
  </si>
  <si>
    <t>PM420Q01S: Transport - Q01 (Paper Scored Response)</t>
  </si>
  <si>
    <t>PM446Q01: Thermometer Cricket - Q01 (Coded Paper Response)</t>
  </si>
  <si>
    <t>PM446Q02: Thermometer Cricket - Q02 (Coded Paper Response)</t>
  </si>
  <si>
    <t>PM559Q01S: Telephone Rates - Q01 (Paper Scored Response)</t>
  </si>
  <si>
    <t>PM828Q01: Carbon Dioxide - Q01 (Coded Paper Response)</t>
  </si>
  <si>
    <t>PM828Q02: Carbon Dioxide - Q02 (Coded Paper Response)</t>
  </si>
  <si>
    <t>PM828Q03: Carbon Dioxide - Q03 (Coded Paper Response)</t>
  </si>
  <si>
    <t>PM464Q01S: Fence - Q01 (Paper Scored Response)</t>
  </si>
  <si>
    <t>PM800Q01S: Computer Game - Q01 (Paper Scored Response)</t>
  </si>
  <si>
    <t>PM982Q01: Employment Data - Q01 (Coded Paper Response)</t>
  </si>
  <si>
    <t>PM982Q02: Employment Data - Q02 (Coded Paper Response)</t>
  </si>
  <si>
    <t>PM982Q03S: Employment Data - Q03 (Paper Scored Response)</t>
  </si>
  <si>
    <t>PM982Q04S: Employment Data - Q04 (Paper Scored Response)</t>
  </si>
  <si>
    <t>PM992Q01: Spacers - Q01 (Coded Paper Response)</t>
  </si>
  <si>
    <t>PM992Q02: Spacers - Q02 (Coded Paper Response)</t>
  </si>
  <si>
    <t>PM992Q03: Spacers - Q03 (Coded Paper Response)</t>
  </si>
  <si>
    <t>PM915Q01S: Carbon Tax - Q01 (Paper Scored Response)</t>
  </si>
  <si>
    <t>PM915Q02: Carbon Tax - Q02 (Coded Paper Response)</t>
  </si>
  <si>
    <t>PM906Q01S: Crazy Ants - Q01 (Paper Scored Response)</t>
  </si>
  <si>
    <t>PM906Q02: Crazy Ants - Q02 (Coded Paper Response)</t>
  </si>
  <si>
    <t>PM00KQ02: Wheelchair Basketball - Q02 (Coded Paper Response)</t>
  </si>
  <si>
    <t>PM909Q01: Speeding Fines - Q01 (Coded Paper Response)</t>
  </si>
  <si>
    <t>PM909Q02S: Speeding Fines - Q02 (Paper Scored Response)</t>
  </si>
  <si>
    <t>PM909Q03: Speeding Fines - Q03 (Coded Paper Response)</t>
  </si>
  <si>
    <t>PM949Q01S: Roof Truss Design - Q01 (Paper Scored Response)</t>
  </si>
  <si>
    <t>PM949Q02S: Roof Truss Design - Q02 (Paper Scored Response)</t>
  </si>
  <si>
    <t>PM949Q03: Roof Truss Design - Q03 (Coded Paper Response)</t>
  </si>
  <si>
    <t>PM00GQ01: Advertising Column - Q01 (Coded Paper Response)</t>
  </si>
  <si>
    <t>PM955Q01: Migration - Q01 (Coded Paper Response)</t>
  </si>
  <si>
    <t>PM955Q02: Migration - Q02 (Coded Paper Response)</t>
  </si>
  <si>
    <t>PM955Q03: Migration - Q03 (Coded Paper Response)</t>
  </si>
  <si>
    <t>PM998Q02: Bike Rental - Q02 (Coded Paper Response)</t>
  </si>
  <si>
    <t>PM998Q04S: Bike Rental - Q04 (Paper Scored Response)</t>
  </si>
  <si>
    <t>PM905Q01S: Tennis balls - Q01 (Paper Scored Response)</t>
  </si>
  <si>
    <t>PM905Q02: Tennis balls - Q02 (Coded Paper Response)</t>
  </si>
  <si>
    <t>PM919Q01: Fan Merchandise - Q01 (Coded Paper Response)</t>
  </si>
  <si>
    <t>PM919Q02: Fan Merchandise - Q02 (Coded Paper Response)</t>
  </si>
  <si>
    <t>PM954Q01: Medicine doses - Q01 (Coded Paper Response)</t>
  </si>
  <si>
    <t>PM954Q02: Medicine doses - Q02 (Coded Paper Response)</t>
  </si>
  <si>
    <t>PM954Q04: Medicine doses - Q04 (Coded Paper Response)</t>
  </si>
  <si>
    <t>PM943Q01S: Arches - Q01 (Paper Scored Response)</t>
  </si>
  <si>
    <t>PM943Q02: Arches - Q02 (Coded Paper Response)</t>
  </si>
  <si>
    <t>PM953Q02: Flu test - Q02 (Coded Paper Response)</t>
  </si>
  <si>
    <t>PM953Q03: Flu test - Q03 (Coded Paper Response)</t>
  </si>
  <si>
    <t>PM953Q04: Flu test - Q04 (Coded Paper Response)</t>
  </si>
  <si>
    <t>PM948Q01S: Part Time Work - Q01 (Paper Scored Response)</t>
  </si>
  <si>
    <t>PM948Q02: Part Time Work - Q02 (Coded Paper Response)</t>
  </si>
  <si>
    <t>PM948Q03: Part Time Work - Q03 (Coded Paper Response)</t>
  </si>
  <si>
    <t>PM936Q01: Seats in a Theatre - Q01 (Coded Paper Response)</t>
  </si>
  <si>
    <t>PM936Q02: Seats in a Theatre - Q02 (Coded Paper Response)</t>
  </si>
  <si>
    <t>PM961Q02: Chocolate - Q02 (Coded Paper Response)</t>
  </si>
  <si>
    <t>PM961Q03S: Chocolate - Q03 (Paper Scored Response)</t>
  </si>
  <si>
    <t>PM961Q05: Chocolate - Q05 (Coded Paper Response)</t>
  </si>
  <si>
    <t>PM939Q01S: Racing - Q01 (Paper Scored Response)</t>
  </si>
  <si>
    <t>PM939Q02S: Racing - Q02 (Paper Scored Response)</t>
  </si>
  <si>
    <t>PM967Q01: Wooden Train Set - Q01 (Coded Paper Response)</t>
  </si>
  <si>
    <t>PM967Q03S: Wooden Train Set - Q03 (Paper Scored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</si>
</sst>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sharedStrings.xml" Type="http://schemas.openxmlformats.org/officeDocument/2006/relationships/sharedStrings"/><Relationship Id="rId168" Target="styles.xml" Type="http://schemas.openxmlformats.org/officeDocument/2006/relationships/styles"/><Relationship Id="rId16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CM033Q01S'!A6" TargetMode="External" Type="http://schemas.openxmlformats.org/officeDocument/2006/relationships/hyperlink"/><Relationship Id="rId2" Target="#'CM474Q01S'!A6" TargetMode="External" Type="http://schemas.openxmlformats.org/officeDocument/2006/relationships/hyperlink"/><Relationship Id="rId3" Target="#'DM155Q02C'!A6" TargetMode="External" Type="http://schemas.openxmlformats.org/officeDocument/2006/relationships/hyperlink"/><Relationship Id="rId4" Target="#'CM155Q01S'!A6" TargetMode="External" Type="http://schemas.openxmlformats.org/officeDocument/2006/relationships/hyperlink"/><Relationship Id="rId5" Target="#'DM155Q03C'!A6" TargetMode="External" Type="http://schemas.openxmlformats.org/officeDocument/2006/relationships/hyperlink"/><Relationship Id="rId6" Target="#'CM155Q04S'!A6" TargetMode="External" Type="http://schemas.openxmlformats.org/officeDocument/2006/relationships/hyperlink"/><Relationship Id="rId7" Target="#'CM411Q01S'!A6" TargetMode="External" Type="http://schemas.openxmlformats.org/officeDocument/2006/relationships/hyperlink"/><Relationship Id="rId8" Target="#'CM411Q02S'!A6" TargetMode="External" Type="http://schemas.openxmlformats.org/officeDocument/2006/relationships/hyperlink"/><Relationship Id="rId9" Target="#'CM803Q01S'!A6" TargetMode="External" Type="http://schemas.openxmlformats.org/officeDocument/2006/relationships/hyperlink"/><Relationship Id="rId10" Target="#'CM442Q02S'!A6" TargetMode="External" Type="http://schemas.openxmlformats.org/officeDocument/2006/relationships/hyperlink"/><Relationship Id="rId11" Target="#'DM462Q01C'!A6" TargetMode="External" Type="http://schemas.openxmlformats.org/officeDocument/2006/relationships/hyperlink"/><Relationship Id="rId12" Target="#'CM034Q01S'!A6" TargetMode="External" Type="http://schemas.openxmlformats.org/officeDocument/2006/relationships/hyperlink"/><Relationship Id="rId13" Target="#'CM305Q01S'!A6" TargetMode="External" Type="http://schemas.openxmlformats.org/officeDocument/2006/relationships/hyperlink"/><Relationship Id="rId14" Target="#'CM496Q01S'!A6" TargetMode="External" Type="http://schemas.openxmlformats.org/officeDocument/2006/relationships/hyperlink"/><Relationship Id="rId15" Target="#'CM496Q02S'!A6" TargetMode="External" Type="http://schemas.openxmlformats.org/officeDocument/2006/relationships/hyperlink"/><Relationship Id="rId16" Target="#'CM423Q01S'!A6" TargetMode="External" Type="http://schemas.openxmlformats.org/officeDocument/2006/relationships/hyperlink"/><Relationship Id="rId17" Target="#'CM192Q01S'!A6" TargetMode="External" Type="http://schemas.openxmlformats.org/officeDocument/2006/relationships/hyperlink"/><Relationship Id="rId18" Target="#'DM406Q01C'!A6" TargetMode="External" Type="http://schemas.openxmlformats.org/officeDocument/2006/relationships/hyperlink"/><Relationship Id="rId19" Target="#'DM406Q02C'!A6" TargetMode="External" Type="http://schemas.openxmlformats.org/officeDocument/2006/relationships/hyperlink"/><Relationship Id="rId20" Target="#'CM603Q01S'!A6" TargetMode="External" Type="http://schemas.openxmlformats.org/officeDocument/2006/relationships/hyperlink"/><Relationship Id="rId21" Target="#'CM571Q01S'!A6" TargetMode="External" Type="http://schemas.openxmlformats.org/officeDocument/2006/relationships/hyperlink"/><Relationship Id="rId22" Target="#'CM564Q01S'!A6" TargetMode="External" Type="http://schemas.openxmlformats.org/officeDocument/2006/relationships/hyperlink"/><Relationship Id="rId23" Target="#'CM564Q02S'!A6" TargetMode="External" Type="http://schemas.openxmlformats.org/officeDocument/2006/relationships/hyperlink"/><Relationship Id="rId24" Target="#'CM447Q01S'!A6" TargetMode="External" Type="http://schemas.openxmlformats.org/officeDocument/2006/relationships/hyperlink"/><Relationship Id="rId25" Target="#'CM273Q01S'!A6" TargetMode="External" Type="http://schemas.openxmlformats.org/officeDocument/2006/relationships/hyperlink"/><Relationship Id="rId26" Target="#'CM408Q01S'!A6" TargetMode="External" Type="http://schemas.openxmlformats.org/officeDocument/2006/relationships/hyperlink"/><Relationship Id="rId27" Target="#'CM420Q01S'!A6" TargetMode="External" Type="http://schemas.openxmlformats.org/officeDocument/2006/relationships/hyperlink"/><Relationship Id="rId28" Target="#'CM446Q01S'!A6" TargetMode="External" Type="http://schemas.openxmlformats.org/officeDocument/2006/relationships/hyperlink"/><Relationship Id="rId29" Target="#'DM446Q02C'!A6" TargetMode="External" Type="http://schemas.openxmlformats.org/officeDocument/2006/relationships/hyperlink"/><Relationship Id="rId30" Target="#'CM559Q01S'!A6" TargetMode="External" Type="http://schemas.openxmlformats.org/officeDocument/2006/relationships/hyperlink"/><Relationship Id="rId31" Target="#'DM828Q02C'!A6" TargetMode="External" Type="http://schemas.openxmlformats.org/officeDocument/2006/relationships/hyperlink"/><Relationship Id="rId32" Target="#'CM828Q03S'!A6" TargetMode="External" Type="http://schemas.openxmlformats.org/officeDocument/2006/relationships/hyperlink"/><Relationship Id="rId33" Target="#'CM464Q01S'!A6" TargetMode="External" Type="http://schemas.openxmlformats.org/officeDocument/2006/relationships/hyperlink"/><Relationship Id="rId34" Target="#'CM800Q01S'!A6" TargetMode="External" Type="http://schemas.openxmlformats.org/officeDocument/2006/relationships/hyperlink"/><Relationship Id="rId35" Target="#'CM982Q01S'!A6" TargetMode="External" Type="http://schemas.openxmlformats.org/officeDocument/2006/relationships/hyperlink"/><Relationship Id="rId36" Target="#'CM982Q02S'!A6" TargetMode="External" Type="http://schemas.openxmlformats.org/officeDocument/2006/relationships/hyperlink"/><Relationship Id="rId37" Target="#'CM982Q03S'!A6" TargetMode="External" Type="http://schemas.openxmlformats.org/officeDocument/2006/relationships/hyperlink"/><Relationship Id="rId38" Target="#'CM982Q04S'!A6" TargetMode="External" Type="http://schemas.openxmlformats.org/officeDocument/2006/relationships/hyperlink"/><Relationship Id="rId39" Target="#'CM992Q01S'!A6" TargetMode="External" Type="http://schemas.openxmlformats.org/officeDocument/2006/relationships/hyperlink"/><Relationship Id="rId40" Target="#'CM992Q02S'!A6" TargetMode="External" Type="http://schemas.openxmlformats.org/officeDocument/2006/relationships/hyperlink"/><Relationship Id="rId41" Target="#'DM992Q03C'!A6" TargetMode="External" Type="http://schemas.openxmlformats.org/officeDocument/2006/relationships/hyperlink"/><Relationship Id="rId42" Target="#'CM915Q01S'!A6" TargetMode="External" Type="http://schemas.openxmlformats.org/officeDocument/2006/relationships/hyperlink"/><Relationship Id="rId43" Target="#'CM915Q02S'!A6" TargetMode="External" Type="http://schemas.openxmlformats.org/officeDocument/2006/relationships/hyperlink"/><Relationship Id="rId44" Target="#'CM906Q01S'!A6" TargetMode="External" Type="http://schemas.openxmlformats.org/officeDocument/2006/relationships/hyperlink"/><Relationship Id="rId45" Target="#'DM906Q02C'!A6" TargetMode="External" Type="http://schemas.openxmlformats.org/officeDocument/2006/relationships/hyperlink"/><Relationship Id="rId46" Target="#'DM00KQ02C'!A6" TargetMode="External" Type="http://schemas.openxmlformats.org/officeDocument/2006/relationships/hyperlink"/><Relationship Id="rId47" Target="#'CM909Q01S'!A6" TargetMode="External" Type="http://schemas.openxmlformats.org/officeDocument/2006/relationships/hyperlink"/><Relationship Id="rId48" Target="#'CM909Q02S'!A6" TargetMode="External" Type="http://schemas.openxmlformats.org/officeDocument/2006/relationships/hyperlink"/><Relationship Id="rId49" Target="#'CM909Q03S'!A6" TargetMode="External" Type="http://schemas.openxmlformats.org/officeDocument/2006/relationships/hyperlink"/><Relationship Id="rId50" Target="#'CM949Q01S'!A6" TargetMode="External" Type="http://schemas.openxmlformats.org/officeDocument/2006/relationships/hyperlink"/><Relationship Id="rId51" Target="#'CM949Q02S'!A6" TargetMode="External" Type="http://schemas.openxmlformats.org/officeDocument/2006/relationships/hyperlink"/><Relationship Id="rId52" Target="#'DM949Q03C'!A6" TargetMode="External" Type="http://schemas.openxmlformats.org/officeDocument/2006/relationships/hyperlink"/><Relationship Id="rId53" Target="#'CM00GQ01S'!A6" TargetMode="External" Type="http://schemas.openxmlformats.org/officeDocument/2006/relationships/hyperlink"/><Relationship Id="rId54" Target="#'DM955Q01C'!A6" TargetMode="External" Type="http://schemas.openxmlformats.org/officeDocument/2006/relationships/hyperlink"/><Relationship Id="rId55" Target="#'DM955Q02C'!A6" TargetMode="External" Type="http://schemas.openxmlformats.org/officeDocument/2006/relationships/hyperlink"/><Relationship Id="rId56" Target="#'CM955Q03S'!A6" TargetMode="External" Type="http://schemas.openxmlformats.org/officeDocument/2006/relationships/hyperlink"/><Relationship Id="rId57" Target="#'DM998Q02C'!A6" TargetMode="External" Type="http://schemas.openxmlformats.org/officeDocument/2006/relationships/hyperlink"/><Relationship Id="rId58" Target="#'CM998Q04S'!A6" TargetMode="External" Type="http://schemas.openxmlformats.org/officeDocument/2006/relationships/hyperlink"/><Relationship Id="rId59" Target="#'CM905Q01S'!A6" TargetMode="External" Type="http://schemas.openxmlformats.org/officeDocument/2006/relationships/hyperlink"/><Relationship Id="rId60" Target="#'DM905Q02C'!A6" TargetMode="External" Type="http://schemas.openxmlformats.org/officeDocument/2006/relationships/hyperlink"/><Relationship Id="rId61" Target="#'CM919Q01S'!A6" TargetMode="External" Type="http://schemas.openxmlformats.org/officeDocument/2006/relationships/hyperlink"/><Relationship Id="rId62" Target="#'CM919Q02S'!A6" TargetMode="External" Type="http://schemas.openxmlformats.org/officeDocument/2006/relationships/hyperlink"/><Relationship Id="rId63" Target="#'CM954Q01S'!A6" TargetMode="External" Type="http://schemas.openxmlformats.org/officeDocument/2006/relationships/hyperlink"/><Relationship Id="rId64" Target="#'DM954Q02C'!A6" TargetMode="External" Type="http://schemas.openxmlformats.org/officeDocument/2006/relationships/hyperlink"/><Relationship Id="rId65" Target="#'CM954Q04S'!A6" TargetMode="External" Type="http://schemas.openxmlformats.org/officeDocument/2006/relationships/hyperlink"/><Relationship Id="rId66" Target="#'CM943Q01S'!A6" TargetMode="External" Type="http://schemas.openxmlformats.org/officeDocument/2006/relationships/hyperlink"/><Relationship Id="rId67" Target="#'CM943Q02S'!A6" TargetMode="External" Type="http://schemas.openxmlformats.org/officeDocument/2006/relationships/hyperlink"/><Relationship Id="rId68" Target="#'DM953Q02C'!A6" TargetMode="External" Type="http://schemas.openxmlformats.org/officeDocument/2006/relationships/hyperlink"/><Relationship Id="rId69" Target="#'CM953Q03S'!A6" TargetMode="External" Type="http://schemas.openxmlformats.org/officeDocument/2006/relationships/hyperlink"/><Relationship Id="rId70" Target="#'DM953Q04C'!A6" TargetMode="External" Type="http://schemas.openxmlformats.org/officeDocument/2006/relationships/hyperlink"/><Relationship Id="rId71" Target="#'CM948Q01S'!A6" TargetMode="External" Type="http://schemas.openxmlformats.org/officeDocument/2006/relationships/hyperlink"/><Relationship Id="rId72" Target="#'CM948Q02S'!A6" TargetMode="External" Type="http://schemas.openxmlformats.org/officeDocument/2006/relationships/hyperlink"/><Relationship Id="rId73" Target="#'CM948Q03S'!A6" TargetMode="External" Type="http://schemas.openxmlformats.org/officeDocument/2006/relationships/hyperlink"/><Relationship Id="rId74" Target="#'CM936Q01S'!A6" TargetMode="External" Type="http://schemas.openxmlformats.org/officeDocument/2006/relationships/hyperlink"/><Relationship Id="rId75" Target="#'DM936Q02C'!A6" TargetMode="External" Type="http://schemas.openxmlformats.org/officeDocument/2006/relationships/hyperlink"/><Relationship Id="rId76" Target="#'DM961Q02C'!A6" TargetMode="External" Type="http://schemas.openxmlformats.org/officeDocument/2006/relationships/hyperlink"/><Relationship Id="rId77" Target="#'CM961Q03S'!A6" TargetMode="External" Type="http://schemas.openxmlformats.org/officeDocument/2006/relationships/hyperlink"/><Relationship Id="rId78" Target="#'DM961Q05C'!A6" TargetMode="External" Type="http://schemas.openxmlformats.org/officeDocument/2006/relationships/hyperlink"/><Relationship Id="rId79" Target="#'CM939Q01S'!A6" TargetMode="External" Type="http://schemas.openxmlformats.org/officeDocument/2006/relationships/hyperlink"/><Relationship Id="rId80" Target="#'CM939Q02S'!A6" TargetMode="External" Type="http://schemas.openxmlformats.org/officeDocument/2006/relationships/hyperlink"/><Relationship Id="rId81" Target="#'CM967Q01S'!A6" TargetMode="External" Type="http://schemas.openxmlformats.org/officeDocument/2006/relationships/hyperlink"/><Relationship Id="rId82" Target="#'CM967Q03S'!A6" TargetMode="External" Type="http://schemas.openxmlformats.org/officeDocument/2006/relationships/hyperlink"/><Relationship Id="rId83" Target="#'PM033Q01S'!A6" TargetMode="External" Type="http://schemas.openxmlformats.org/officeDocument/2006/relationships/hyperlink"/><Relationship Id="rId84" Target="#'PM474Q01'!A6" TargetMode="External" Type="http://schemas.openxmlformats.org/officeDocument/2006/relationships/hyperlink"/><Relationship Id="rId85" Target="#'PM155Q02'!A6" TargetMode="External" Type="http://schemas.openxmlformats.org/officeDocument/2006/relationships/hyperlink"/><Relationship Id="rId86" Target="#'PM155Q01'!A6" TargetMode="External" Type="http://schemas.openxmlformats.org/officeDocument/2006/relationships/hyperlink"/><Relationship Id="rId87" Target="#'PM155Q03'!A6" TargetMode="External" Type="http://schemas.openxmlformats.org/officeDocument/2006/relationships/hyperlink"/><Relationship Id="rId88" Target="#'PM155Q04S'!A6" TargetMode="External" Type="http://schemas.openxmlformats.org/officeDocument/2006/relationships/hyperlink"/><Relationship Id="rId89" Target="#'PM411Q01'!A6" TargetMode="External" Type="http://schemas.openxmlformats.org/officeDocument/2006/relationships/hyperlink"/><Relationship Id="rId90" Target="#'PM411Q02S'!A6" TargetMode="External" Type="http://schemas.openxmlformats.org/officeDocument/2006/relationships/hyperlink"/><Relationship Id="rId91" Target="#'PM803Q01S'!A6" TargetMode="External" Type="http://schemas.openxmlformats.org/officeDocument/2006/relationships/hyperlink"/><Relationship Id="rId92" Target="#'PM442Q02'!A6" TargetMode="External" Type="http://schemas.openxmlformats.org/officeDocument/2006/relationships/hyperlink"/><Relationship Id="rId93" Target="#'PM462Q01'!A6" TargetMode="External" Type="http://schemas.openxmlformats.org/officeDocument/2006/relationships/hyperlink"/><Relationship Id="rId94" Target="#'PM034Q01S'!A6" TargetMode="External" Type="http://schemas.openxmlformats.org/officeDocument/2006/relationships/hyperlink"/><Relationship Id="rId95" Target="#'PM305Q01S'!A6" TargetMode="External" Type="http://schemas.openxmlformats.org/officeDocument/2006/relationships/hyperlink"/><Relationship Id="rId96" Target="#'PM496Q01S'!A6" TargetMode="External" Type="http://schemas.openxmlformats.org/officeDocument/2006/relationships/hyperlink"/><Relationship Id="rId97" Target="#'PM496Q02'!A6" TargetMode="External" Type="http://schemas.openxmlformats.org/officeDocument/2006/relationships/hyperlink"/><Relationship Id="rId98" Target="#'PM423Q01S'!A6" TargetMode="External" Type="http://schemas.openxmlformats.org/officeDocument/2006/relationships/hyperlink"/><Relationship Id="rId99" Target="#'PM192Q01S'!A6" TargetMode="External" Type="http://schemas.openxmlformats.org/officeDocument/2006/relationships/hyperlink"/><Relationship Id="rId100" Target="#'PM406Q01'!A6" TargetMode="External" Type="http://schemas.openxmlformats.org/officeDocument/2006/relationships/hyperlink"/><Relationship Id="rId101" Target="#'PM406Q02'!A6" TargetMode="External" Type="http://schemas.openxmlformats.org/officeDocument/2006/relationships/hyperlink"/><Relationship Id="rId102" Target="#'PM603Q01S'!A6" TargetMode="External" Type="http://schemas.openxmlformats.org/officeDocument/2006/relationships/hyperlink"/><Relationship Id="rId103" Target="#'PM571Q01S'!A6" TargetMode="External" Type="http://schemas.openxmlformats.org/officeDocument/2006/relationships/hyperlink"/><Relationship Id="rId104" Target="#'PM564Q01S'!A6" TargetMode="External" Type="http://schemas.openxmlformats.org/officeDocument/2006/relationships/hyperlink"/><Relationship Id="rId105" Target="#'PM564Q02S'!A6" TargetMode="External" Type="http://schemas.openxmlformats.org/officeDocument/2006/relationships/hyperlink"/><Relationship Id="rId106" Target="#'PM447Q01S'!A6" TargetMode="External" Type="http://schemas.openxmlformats.org/officeDocument/2006/relationships/hyperlink"/><Relationship Id="rId107" Target="#'PM273Q01S'!A6" TargetMode="External" Type="http://schemas.openxmlformats.org/officeDocument/2006/relationships/hyperlink"/><Relationship Id="rId108" Target="#'PM408Q01S'!A6" TargetMode="External" Type="http://schemas.openxmlformats.org/officeDocument/2006/relationships/hyperlink"/><Relationship Id="rId109" Target="#'PM420Q01S'!A6" TargetMode="External" Type="http://schemas.openxmlformats.org/officeDocument/2006/relationships/hyperlink"/><Relationship Id="rId110" Target="#'PM446Q01'!A6" TargetMode="External" Type="http://schemas.openxmlformats.org/officeDocument/2006/relationships/hyperlink"/><Relationship Id="rId111" Target="#'PM446Q02'!A6" TargetMode="External" Type="http://schemas.openxmlformats.org/officeDocument/2006/relationships/hyperlink"/><Relationship Id="rId112" Target="#'PM559Q01S'!A6" TargetMode="External" Type="http://schemas.openxmlformats.org/officeDocument/2006/relationships/hyperlink"/><Relationship Id="rId113" Target="#'PM828Q01'!A6" TargetMode="External" Type="http://schemas.openxmlformats.org/officeDocument/2006/relationships/hyperlink"/><Relationship Id="rId114" Target="#'PM828Q02'!A6" TargetMode="External" Type="http://schemas.openxmlformats.org/officeDocument/2006/relationships/hyperlink"/><Relationship Id="rId115" Target="#'PM828Q03'!A6" TargetMode="External" Type="http://schemas.openxmlformats.org/officeDocument/2006/relationships/hyperlink"/><Relationship Id="rId116" Target="#'PM464Q01S'!A6" TargetMode="External" Type="http://schemas.openxmlformats.org/officeDocument/2006/relationships/hyperlink"/><Relationship Id="rId117" Target="#'PM800Q01S'!A6" TargetMode="External" Type="http://schemas.openxmlformats.org/officeDocument/2006/relationships/hyperlink"/><Relationship Id="rId118" Target="#'PM982Q01'!A6" TargetMode="External" Type="http://schemas.openxmlformats.org/officeDocument/2006/relationships/hyperlink"/><Relationship Id="rId119" Target="#'PM982Q02'!A6" TargetMode="External" Type="http://schemas.openxmlformats.org/officeDocument/2006/relationships/hyperlink"/><Relationship Id="rId120" Target="#'PM982Q03S'!A6" TargetMode="External" Type="http://schemas.openxmlformats.org/officeDocument/2006/relationships/hyperlink"/><Relationship Id="rId121" Target="#'PM982Q04S'!A6" TargetMode="External" Type="http://schemas.openxmlformats.org/officeDocument/2006/relationships/hyperlink"/><Relationship Id="rId122" Target="#'PM992Q01'!A6" TargetMode="External" Type="http://schemas.openxmlformats.org/officeDocument/2006/relationships/hyperlink"/><Relationship Id="rId123" Target="#'PM992Q02'!A6" TargetMode="External" Type="http://schemas.openxmlformats.org/officeDocument/2006/relationships/hyperlink"/><Relationship Id="rId124" Target="#'PM992Q03'!A6" TargetMode="External" Type="http://schemas.openxmlformats.org/officeDocument/2006/relationships/hyperlink"/><Relationship Id="rId125" Target="#'PM915Q01S'!A6" TargetMode="External" Type="http://schemas.openxmlformats.org/officeDocument/2006/relationships/hyperlink"/><Relationship Id="rId126" Target="#'PM915Q02'!A6" TargetMode="External" Type="http://schemas.openxmlformats.org/officeDocument/2006/relationships/hyperlink"/><Relationship Id="rId127" Target="#'PM906Q01S'!A6" TargetMode="External" Type="http://schemas.openxmlformats.org/officeDocument/2006/relationships/hyperlink"/><Relationship Id="rId128" Target="#'PM906Q02'!A6" TargetMode="External" Type="http://schemas.openxmlformats.org/officeDocument/2006/relationships/hyperlink"/><Relationship Id="rId129" Target="#'PM00KQ02'!A6" TargetMode="External" Type="http://schemas.openxmlformats.org/officeDocument/2006/relationships/hyperlink"/><Relationship Id="rId130" Target="#'PM909Q01'!A6" TargetMode="External" Type="http://schemas.openxmlformats.org/officeDocument/2006/relationships/hyperlink"/><Relationship Id="rId131" Target="#'PM909Q02S'!A6" TargetMode="External" Type="http://schemas.openxmlformats.org/officeDocument/2006/relationships/hyperlink"/><Relationship Id="rId132" Target="#'PM909Q03'!A6" TargetMode="External" Type="http://schemas.openxmlformats.org/officeDocument/2006/relationships/hyperlink"/><Relationship Id="rId133" Target="#'PM949Q01S'!A6" TargetMode="External" Type="http://schemas.openxmlformats.org/officeDocument/2006/relationships/hyperlink"/><Relationship Id="rId134" Target="#'PM949Q02S'!A6" TargetMode="External" Type="http://schemas.openxmlformats.org/officeDocument/2006/relationships/hyperlink"/><Relationship Id="rId135" Target="#'PM949Q03'!A6" TargetMode="External" Type="http://schemas.openxmlformats.org/officeDocument/2006/relationships/hyperlink"/><Relationship Id="rId136" Target="#'PM00GQ01'!A6" TargetMode="External" Type="http://schemas.openxmlformats.org/officeDocument/2006/relationships/hyperlink"/><Relationship Id="rId137" Target="#'PM955Q01'!A6" TargetMode="External" Type="http://schemas.openxmlformats.org/officeDocument/2006/relationships/hyperlink"/><Relationship Id="rId138" Target="#'PM955Q02'!A6" TargetMode="External" Type="http://schemas.openxmlformats.org/officeDocument/2006/relationships/hyperlink"/><Relationship Id="rId139" Target="#'PM955Q03'!A6" TargetMode="External" Type="http://schemas.openxmlformats.org/officeDocument/2006/relationships/hyperlink"/><Relationship Id="rId140" Target="#'PM998Q02'!A6" TargetMode="External" Type="http://schemas.openxmlformats.org/officeDocument/2006/relationships/hyperlink"/><Relationship Id="rId141" Target="#'PM998Q04S'!A6" TargetMode="External" Type="http://schemas.openxmlformats.org/officeDocument/2006/relationships/hyperlink"/><Relationship Id="rId142" Target="#'PM905Q01S'!A6" TargetMode="External" Type="http://schemas.openxmlformats.org/officeDocument/2006/relationships/hyperlink"/><Relationship Id="rId143" Target="#'PM905Q02'!A6" TargetMode="External" Type="http://schemas.openxmlformats.org/officeDocument/2006/relationships/hyperlink"/><Relationship Id="rId144" Target="#'PM919Q01'!A6" TargetMode="External" Type="http://schemas.openxmlformats.org/officeDocument/2006/relationships/hyperlink"/><Relationship Id="rId145" Target="#'PM919Q02'!A6" TargetMode="External" Type="http://schemas.openxmlformats.org/officeDocument/2006/relationships/hyperlink"/><Relationship Id="rId146" Target="#'PM954Q01'!A6" TargetMode="External" Type="http://schemas.openxmlformats.org/officeDocument/2006/relationships/hyperlink"/><Relationship Id="rId147" Target="#'PM954Q02'!A6" TargetMode="External" Type="http://schemas.openxmlformats.org/officeDocument/2006/relationships/hyperlink"/><Relationship Id="rId148" Target="#'PM954Q04'!A6" TargetMode="External" Type="http://schemas.openxmlformats.org/officeDocument/2006/relationships/hyperlink"/><Relationship Id="rId149" Target="#'PM943Q01S'!A6" TargetMode="External" Type="http://schemas.openxmlformats.org/officeDocument/2006/relationships/hyperlink"/><Relationship Id="rId150" Target="#'PM943Q02'!A6" TargetMode="External" Type="http://schemas.openxmlformats.org/officeDocument/2006/relationships/hyperlink"/><Relationship Id="rId151" Target="#'PM953Q02'!A6" TargetMode="External" Type="http://schemas.openxmlformats.org/officeDocument/2006/relationships/hyperlink"/><Relationship Id="rId152" Target="#'PM953Q03'!A6" TargetMode="External" Type="http://schemas.openxmlformats.org/officeDocument/2006/relationships/hyperlink"/><Relationship Id="rId153" Target="#'PM953Q04'!A6" TargetMode="External" Type="http://schemas.openxmlformats.org/officeDocument/2006/relationships/hyperlink"/><Relationship Id="rId154" Target="#'PM948Q01S'!A6" TargetMode="External" Type="http://schemas.openxmlformats.org/officeDocument/2006/relationships/hyperlink"/><Relationship Id="rId155" Target="#'PM948Q02'!A6" TargetMode="External" Type="http://schemas.openxmlformats.org/officeDocument/2006/relationships/hyperlink"/><Relationship Id="rId156" Target="#'PM948Q03'!A6" TargetMode="External" Type="http://schemas.openxmlformats.org/officeDocument/2006/relationships/hyperlink"/><Relationship Id="rId157" Target="#'PM936Q01'!A6" TargetMode="External" Type="http://schemas.openxmlformats.org/officeDocument/2006/relationships/hyperlink"/><Relationship Id="rId158" Target="#'PM936Q02'!A6" TargetMode="External" Type="http://schemas.openxmlformats.org/officeDocument/2006/relationships/hyperlink"/><Relationship Id="rId159" Target="#'PM961Q02'!A6" TargetMode="External" Type="http://schemas.openxmlformats.org/officeDocument/2006/relationships/hyperlink"/><Relationship Id="rId160" Target="#'PM961Q03S'!A6" TargetMode="External" Type="http://schemas.openxmlformats.org/officeDocument/2006/relationships/hyperlink"/><Relationship Id="rId161" Target="#'PM961Q05'!A6" TargetMode="External" Type="http://schemas.openxmlformats.org/officeDocument/2006/relationships/hyperlink"/><Relationship Id="rId162" Target="#'PM939Q01S'!A6" TargetMode="External" Type="http://schemas.openxmlformats.org/officeDocument/2006/relationships/hyperlink"/><Relationship Id="rId163" Target="#'PM939Q02S'!A6" TargetMode="External" Type="http://schemas.openxmlformats.org/officeDocument/2006/relationships/hyperlink"/><Relationship Id="rId164" Target="#'PM967Q01'!A6" TargetMode="External" Type="http://schemas.openxmlformats.org/officeDocument/2006/relationships/hyperlink"/><Relationship Id="rId165" Target="#'PM967Q03S'!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66"/>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332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(6244.0/B7*100)</f>
        <v/>
      </c>
      <c r="D7" s="19" t="n">
        <v>919</v>
      </c>
      <c r="E7" s="18" t="n">
        <v>18.20019</v>
      </c>
      <c r="F7" s="20" t="n">
        <v>1.49376989</v>
      </c>
      <c r="G7" s="18" t="n">
        <v>81.07285265</v>
      </c>
      <c r="H7" s="20" t="n">
        <v>1.50023812</v>
      </c>
      <c r="I7" s="18" t="s">
        <v>349</v>
      </c>
      <c r="J7" s="20" t="s">
        <v>349</v>
      </c>
      <c r="K7" s="18" t="n">
        <v>0.07940576000000001</v>
      </c>
      <c r="L7" s="20" t="n">
        <v>0.07746096</v>
      </c>
      <c r="M7" s="18" t="n">
        <v>0</v>
      </c>
      <c r="N7" s="20" t="n">
        <v>0</v>
      </c>
      <c r="O7" s="18" t="n">
        <v>0</v>
      </c>
      <c r="P7" s="20" t="n">
        <v>0</v>
      </c>
      <c r="Q7" s="18" t="n">
        <v>0.64755158</v>
      </c>
      <c r="R7" s="20" t="n">
        <v>0.34405019</v>
      </c>
    </row>
    <row r="8" spans="1:18">
      <c r="A8" s="15" t="s">
        <v>350</v>
      </c>
      <c r="B8" s="17" t="n">
        <v>3443</v>
      </c>
      <c r="C8" s="18">
        <f>(3029.0/B8*100)</f>
        <v/>
      </c>
      <c r="D8" s="19" t="n">
        <v>414</v>
      </c>
      <c r="E8" s="18" t="n">
        <v>15.79601378</v>
      </c>
      <c r="F8" s="20" t="n">
        <v>2.09034503</v>
      </c>
      <c r="G8" s="18" t="n">
        <v>84.20398622</v>
      </c>
      <c r="H8" s="20" t="n">
        <v>2.09034503</v>
      </c>
      <c r="I8" s="18" t="s">
        <v>349</v>
      </c>
      <c r="J8" s="20" t="s">
        <v>349</v>
      </c>
      <c r="K8" s="18" t="n">
        <v>0</v>
      </c>
      <c r="L8" s="20" t="n">
        <v>0</v>
      </c>
      <c r="M8" s="18" t="n">
        <v>0</v>
      </c>
      <c r="N8" s="20" t="n">
        <v>0</v>
      </c>
      <c r="O8" s="18" t="n">
        <v>0</v>
      </c>
      <c r="P8" s="20" t="n">
        <v>0</v>
      </c>
      <c r="Q8" s="18" t="n">
        <v>0</v>
      </c>
      <c r="R8" s="20" t="n">
        <v>0</v>
      </c>
    </row>
    <row r="9" spans="1:18">
      <c r="A9" s="15" t="s">
        <v>351</v>
      </c>
      <c r="B9" s="17" t="n">
        <v>4752</v>
      </c>
      <c r="C9" s="18">
        <f>(4166.0/B9*100)</f>
        <v/>
      </c>
      <c r="D9" s="19" t="n">
        <v>586</v>
      </c>
      <c r="E9" s="18" t="n">
        <v>16.80657914</v>
      </c>
      <c r="F9" s="20" t="n">
        <v>1.47683472</v>
      </c>
      <c r="G9" s="18" t="n">
        <v>82.46481231</v>
      </c>
      <c r="H9" s="20" t="n">
        <v>1.49238806</v>
      </c>
      <c r="I9" s="18" t="s">
        <v>349</v>
      </c>
      <c r="J9" s="20" t="s">
        <v>349</v>
      </c>
      <c r="K9" s="18" t="n">
        <v>0.21820465</v>
      </c>
      <c r="L9" s="20" t="n">
        <v>0.2186442</v>
      </c>
      <c r="M9" s="18" t="n">
        <v>0</v>
      </c>
      <c r="N9" s="20" t="n">
        <v>0</v>
      </c>
      <c r="O9" s="18" t="n">
        <v>0</v>
      </c>
      <c r="P9" s="20" t="n">
        <v>0</v>
      </c>
      <c r="Q9" s="18" t="n">
        <v>0.5104039</v>
      </c>
      <c r="R9" s="20" t="n">
        <v>0.34456003</v>
      </c>
    </row>
    <row r="10" spans="1:18">
      <c r="A10" s="15" t="s">
        <v>352</v>
      </c>
      <c r="B10" s="17" t="n">
        <v>10022</v>
      </c>
      <c r="C10" s="18">
        <f>(8823.0/B10*100)</f>
        <v/>
      </c>
      <c r="D10" s="19" t="n">
        <v>1199</v>
      </c>
      <c r="E10" s="18" t="n">
        <v>15.98850524</v>
      </c>
      <c r="F10" s="20" t="n">
        <v>1.72505984</v>
      </c>
      <c r="G10" s="18" t="n">
        <v>83.46064298</v>
      </c>
      <c r="H10" s="20" t="n">
        <v>1.75634622</v>
      </c>
      <c r="I10" s="18" t="s">
        <v>349</v>
      </c>
      <c r="J10" s="20" t="s">
        <v>349</v>
      </c>
      <c r="K10" s="18" t="n">
        <v>0.04004232</v>
      </c>
      <c r="L10" s="20" t="n">
        <v>0.02767236</v>
      </c>
      <c r="M10" s="18" t="n">
        <v>0</v>
      </c>
      <c r="N10" s="20" t="n">
        <v>0</v>
      </c>
      <c r="O10" s="18" t="n">
        <v>0</v>
      </c>
      <c r="P10" s="20" t="n">
        <v>0</v>
      </c>
      <c r="Q10" s="18" t="n">
        <v>0.51080946</v>
      </c>
      <c r="R10" s="20" t="n">
        <v>0.26032045</v>
      </c>
    </row>
    <row r="11" spans="1:18">
      <c r="A11" s="15" t="s">
        <v>353</v>
      </c>
      <c r="B11" s="17" t="n">
        <v>3500</v>
      </c>
      <c r="C11" s="18">
        <f>(3077.0/B11*100)</f>
        <v/>
      </c>
      <c r="D11" s="19" t="n">
        <v>423</v>
      </c>
      <c r="E11" s="18" t="n">
        <v>24.70813294</v>
      </c>
      <c r="F11" s="20" t="n">
        <v>2.27135727</v>
      </c>
      <c r="G11" s="18" t="n">
        <v>74.22920357</v>
      </c>
      <c r="H11" s="20" t="n">
        <v>2.36187553</v>
      </c>
      <c r="I11" s="18" t="s">
        <v>349</v>
      </c>
      <c r="J11" s="20" t="s">
        <v>349</v>
      </c>
      <c r="K11" s="18" t="n">
        <v>0.1590197</v>
      </c>
      <c r="L11" s="20" t="n">
        <v>0.14574672</v>
      </c>
      <c r="M11" s="18" t="n">
        <v>0</v>
      </c>
      <c r="N11" s="20" t="n">
        <v>0</v>
      </c>
      <c r="O11" s="18" t="n">
        <v>0</v>
      </c>
      <c r="P11" s="20" t="n">
        <v>0</v>
      </c>
      <c r="Q11" s="18" t="n">
        <v>0.9036437899999999</v>
      </c>
      <c r="R11" s="20" t="n">
        <v>0.55632918</v>
      </c>
    </row>
    <row r="12" spans="1:18">
      <c r="A12" s="15" t="s">
        <v>354</v>
      </c>
      <c r="B12" s="17" t="n">
        <v>3422</v>
      </c>
      <c r="C12" s="18">
        <f>(3000.0/B12*100)</f>
        <v/>
      </c>
      <c r="D12" s="19" t="n">
        <v>422</v>
      </c>
      <c r="E12" s="18" t="n">
        <v>16.66054289</v>
      </c>
      <c r="F12" s="20" t="n">
        <v>1.91840488</v>
      </c>
      <c r="G12" s="18" t="n">
        <v>82.51512271</v>
      </c>
      <c r="H12" s="20" t="n">
        <v>2.0456857</v>
      </c>
      <c r="I12" s="18" t="s">
        <v>349</v>
      </c>
      <c r="J12" s="20" t="s">
        <v>349</v>
      </c>
      <c r="K12" s="18" t="n">
        <v>0</v>
      </c>
      <c r="L12" s="20" t="n">
        <v>0</v>
      </c>
      <c r="M12" s="18" t="n">
        <v>0</v>
      </c>
      <c r="N12" s="20" t="n">
        <v>0</v>
      </c>
      <c r="O12" s="18" t="n">
        <v>0</v>
      </c>
      <c r="P12" s="20" t="n">
        <v>0</v>
      </c>
      <c r="Q12" s="18" t="n">
        <v>0.8243344</v>
      </c>
      <c r="R12" s="20" t="n">
        <v>0.55984593</v>
      </c>
    </row>
    <row r="13" spans="1:18">
      <c r="A13" s="15" t="s">
        <v>355</v>
      </c>
      <c r="B13" s="17" t="n">
        <v>3602</v>
      </c>
      <c r="C13" s="18">
        <f>(3198.0/B13*100)</f>
        <v/>
      </c>
      <c r="D13" s="19" t="n">
        <v>404</v>
      </c>
      <c r="E13" s="18" t="n">
        <v>12.30144787</v>
      </c>
      <c r="F13" s="20" t="n">
        <v>2.01568375</v>
      </c>
      <c r="G13" s="18" t="n">
        <v>87.69855213</v>
      </c>
      <c r="H13" s="20" t="n">
        <v>2.01568375</v>
      </c>
      <c r="I13" s="18" t="s">
        <v>349</v>
      </c>
      <c r="J13" s="20" t="s">
        <v>349</v>
      </c>
      <c r="K13" s="18" t="n">
        <v>0</v>
      </c>
      <c r="L13" s="20" t="n">
        <v>0</v>
      </c>
      <c r="M13" s="18" t="n">
        <v>0</v>
      </c>
      <c r="N13" s="20" t="n">
        <v>0</v>
      </c>
      <c r="O13" s="18" t="n">
        <v>0</v>
      </c>
      <c r="P13" s="20" t="n">
        <v>0</v>
      </c>
      <c r="Q13" s="18" t="n">
        <v>0</v>
      </c>
      <c r="R13" s="20" t="n">
        <v>0</v>
      </c>
    </row>
    <row r="14" spans="1:18">
      <c r="A14" s="15" t="s">
        <v>356</v>
      </c>
      <c r="B14" s="17" t="n">
        <v>2788</v>
      </c>
      <c r="C14" s="18">
        <f>(2433.0/B14*100)</f>
        <v/>
      </c>
      <c r="D14" s="19" t="n">
        <v>355</v>
      </c>
      <c r="E14" s="18" t="n">
        <v>19.4450601</v>
      </c>
      <c r="F14" s="20" t="n">
        <v>2.67427513</v>
      </c>
      <c r="G14" s="18" t="n">
        <v>80.55493989999999</v>
      </c>
      <c r="H14" s="20" t="n">
        <v>2.67427513</v>
      </c>
      <c r="I14" s="18" t="s">
        <v>349</v>
      </c>
      <c r="J14" s="20" t="s">
        <v>349</v>
      </c>
      <c r="K14" s="18" t="n">
        <v>0</v>
      </c>
      <c r="L14" s="20" t="n">
        <v>0</v>
      </c>
      <c r="M14" s="18" t="n">
        <v>0</v>
      </c>
      <c r="N14" s="20" t="n">
        <v>0</v>
      </c>
      <c r="O14" s="18" t="n">
        <v>0</v>
      </c>
      <c r="P14" s="20" t="n">
        <v>0</v>
      </c>
      <c r="Q14" s="18" t="n">
        <v>0</v>
      </c>
      <c r="R14" s="20" t="n">
        <v>0</v>
      </c>
    </row>
    <row r="15" spans="1:18">
      <c r="A15" s="15" t="s">
        <v>357</v>
      </c>
      <c r="B15" s="17" t="n">
        <v>2863</v>
      </c>
      <c r="C15" s="18">
        <f>(2495.0/B15*100)</f>
        <v/>
      </c>
      <c r="D15" s="19" t="n">
        <v>368</v>
      </c>
      <c r="E15" s="18" t="n">
        <v>14.20399013</v>
      </c>
      <c r="F15" s="20" t="n">
        <v>1.83890054</v>
      </c>
      <c r="G15" s="18" t="n">
        <v>85.79600987000001</v>
      </c>
      <c r="H15" s="20" t="n">
        <v>1.83890054</v>
      </c>
      <c r="I15" s="18" t="s">
        <v>349</v>
      </c>
      <c r="J15" s="20" t="s">
        <v>349</v>
      </c>
      <c r="K15" s="18" t="n">
        <v>0</v>
      </c>
      <c r="L15" s="20" t="n">
        <v>0</v>
      </c>
      <c r="M15" s="18" t="n">
        <v>0</v>
      </c>
      <c r="N15" s="20" t="n">
        <v>0</v>
      </c>
      <c r="O15" s="18" t="n">
        <v>0</v>
      </c>
      <c r="P15" s="20" t="n">
        <v>0</v>
      </c>
      <c r="Q15" s="18" t="n">
        <v>0</v>
      </c>
      <c r="R15" s="20" t="n">
        <v>0</v>
      </c>
    </row>
    <row r="16" spans="1:18">
      <c r="A16" s="15" t="s">
        <v>358</v>
      </c>
      <c r="B16" s="17" t="n">
        <v>3111</v>
      </c>
      <c r="C16" s="18">
        <f>(2729.0/B16*100)</f>
        <v/>
      </c>
      <c r="D16" s="19" t="n">
        <v>382</v>
      </c>
      <c r="E16" s="18" t="n">
        <v>23.17488538</v>
      </c>
      <c r="F16" s="20" t="n">
        <v>2.51125776</v>
      </c>
      <c r="G16" s="18" t="n">
        <v>76.07981934</v>
      </c>
      <c r="H16" s="20" t="n">
        <v>2.43057154</v>
      </c>
      <c r="I16" s="18" t="s">
        <v>349</v>
      </c>
      <c r="J16" s="20" t="s">
        <v>349</v>
      </c>
      <c r="K16" s="18" t="n">
        <v>0</v>
      </c>
      <c r="L16" s="20" t="n">
        <v>0</v>
      </c>
      <c r="M16" s="18" t="n">
        <v>0</v>
      </c>
      <c r="N16" s="20" t="n">
        <v>0</v>
      </c>
      <c r="O16" s="18" t="n">
        <v>0</v>
      </c>
      <c r="P16" s="20" t="n">
        <v>0</v>
      </c>
      <c r="Q16" s="18" t="n">
        <v>0.74529528</v>
      </c>
      <c r="R16" s="20" t="n">
        <v>0.46835922</v>
      </c>
    </row>
    <row r="17" spans="1:18">
      <c r="A17" s="15" t="s">
        <v>359</v>
      </c>
      <c r="B17" s="17" t="n">
        <v>3197</v>
      </c>
      <c r="C17" s="18">
        <f>(2811.0/B17*100)</f>
        <v/>
      </c>
      <c r="D17" s="19" t="n">
        <v>386</v>
      </c>
      <c r="E17" s="18" t="n">
        <v>17.18784979</v>
      </c>
      <c r="F17" s="20" t="n">
        <v>1.76348046</v>
      </c>
      <c r="G17" s="18" t="n">
        <v>82.24000048000001</v>
      </c>
      <c r="H17" s="20" t="n">
        <v>1.78603785</v>
      </c>
      <c r="I17" s="18" t="s">
        <v>349</v>
      </c>
      <c r="J17" s="20" t="s">
        <v>349</v>
      </c>
      <c r="K17" s="18" t="n">
        <v>0.2960756</v>
      </c>
      <c r="L17" s="20" t="n">
        <v>0.30002918</v>
      </c>
      <c r="M17" s="18" t="n">
        <v>0</v>
      </c>
      <c r="N17" s="20" t="n">
        <v>0</v>
      </c>
      <c r="O17" s="18" t="n">
        <v>0</v>
      </c>
      <c r="P17" s="20" t="n">
        <v>0</v>
      </c>
      <c r="Q17" s="18" t="n">
        <v>0.27607413</v>
      </c>
      <c r="R17" s="20" t="n">
        <v>0.27173816</v>
      </c>
    </row>
    <row r="18" spans="1:18">
      <c r="A18" s="15" t="s">
        <v>360</v>
      </c>
      <c r="B18" s="17" t="n">
        <v>2706</v>
      </c>
      <c r="C18" s="18">
        <f>(2388.0/B18*100)</f>
        <v/>
      </c>
      <c r="D18" s="19" t="n">
        <v>318</v>
      </c>
      <c r="E18" s="18" t="n">
        <v>28.19876478</v>
      </c>
      <c r="F18" s="20" t="n">
        <v>2.60946274</v>
      </c>
      <c r="G18" s="18" t="n">
        <v>70.94484069000001</v>
      </c>
      <c r="H18" s="20" t="n">
        <v>2.59442215</v>
      </c>
      <c r="I18" s="18" t="s">
        <v>349</v>
      </c>
      <c r="J18" s="20" t="s">
        <v>349</v>
      </c>
      <c r="K18" s="18" t="n">
        <v>0.25895688</v>
      </c>
      <c r="L18" s="20" t="n">
        <v>0.25450298</v>
      </c>
      <c r="M18" s="18" t="n">
        <v>0</v>
      </c>
      <c r="N18" s="20" t="n">
        <v>0</v>
      </c>
      <c r="O18" s="18" t="n">
        <v>0</v>
      </c>
      <c r="P18" s="20" t="n">
        <v>0</v>
      </c>
      <c r="Q18" s="18" t="n">
        <v>0.59743765</v>
      </c>
      <c r="R18" s="20" t="n">
        <v>0.41374603</v>
      </c>
    </row>
    <row r="19" spans="1:18">
      <c r="A19" s="15" t="s">
        <v>361</v>
      </c>
      <c r="B19" s="17" t="n">
        <v>2850</v>
      </c>
      <c r="C19" s="18">
        <f>(2488.0/B19*100)</f>
        <v/>
      </c>
      <c r="D19" s="19" t="n">
        <v>362</v>
      </c>
      <c r="E19" s="18" t="n">
        <v>26.71914751</v>
      </c>
      <c r="F19" s="20" t="n">
        <v>2.6284383</v>
      </c>
      <c r="G19" s="18" t="n">
        <v>72.65327133</v>
      </c>
      <c r="H19" s="20" t="n">
        <v>2.77100697</v>
      </c>
      <c r="I19" s="18" t="s">
        <v>349</v>
      </c>
      <c r="J19" s="20" t="s">
        <v>349</v>
      </c>
      <c r="K19" s="18" t="n">
        <v>0</v>
      </c>
      <c r="L19" s="20" t="n">
        <v>0</v>
      </c>
      <c r="M19" s="18" t="n">
        <v>0</v>
      </c>
      <c r="N19" s="20" t="n">
        <v>0</v>
      </c>
      <c r="O19" s="18" t="n">
        <v>0</v>
      </c>
      <c r="P19" s="20" t="n">
        <v>0</v>
      </c>
      <c r="Q19" s="18" t="n">
        <v>0.62758115</v>
      </c>
      <c r="R19" s="20" t="n">
        <v>0.5912507299999999</v>
      </c>
    </row>
    <row r="20" spans="1:18">
      <c r="A20" s="15" t="s">
        <v>362</v>
      </c>
      <c r="B20" s="17" t="n">
        <v>1741</v>
      </c>
      <c r="C20" s="18">
        <f>(1514.0/B20*100)</f>
        <v/>
      </c>
      <c r="D20" s="19" t="n">
        <v>227</v>
      </c>
      <c r="E20" s="18" t="n">
        <v>17.1043514</v>
      </c>
      <c r="F20" s="20" t="n">
        <v>2.58081735</v>
      </c>
      <c r="G20" s="18" t="n">
        <v>82.8956486</v>
      </c>
      <c r="H20" s="20" t="n">
        <v>2.58081735</v>
      </c>
      <c r="I20" s="18" t="s">
        <v>349</v>
      </c>
      <c r="J20" s="20" t="s">
        <v>349</v>
      </c>
      <c r="K20" s="18" t="n">
        <v>0</v>
      </c>
      <c r="L20" s="20" t="n">
        <v>0</v>
      </c>
      <c r="M20" s="18" t="n">
        <v>0</v>
      </c>
      <c r="N20" s="20" t="n">
        <v>0</v>
      </c>
      <c r="O20" s="18" t="n">
        <v>0</v>
      </c>
      <c r="P20" s="20" t="n">
        <v>0</v>
      </c>
      <c r="Q20" s="18" t="n">
        <v>0</v>
      </c>
      <c r="R20" s="20" t="n">
        <v>0</v>
      </c>
    </row>
    <row r="21" spans="1:18">
      <c r="A21" s="15" t="s">
        <v>363</v>
      </c>
      <c r="B21" s="17" t="n">
        <v>2833</v>
      </c>
      <c r="C21" s="18">
        <f>(2373.0/B21*100)</f>
        <v/>
      </c>
      <c r="D21" s="19" t="n">
        <v>460</v>
      </c>
      <c r="E21" s="18" t="n">
        <v>29.19879603</v>
      </c>
      <c r="F21" s="20" t="n">
        <v>2.53095073</v>
      </c>
      <c r="G21" s="18" t="n">
        <v>70.41445227</v>
      </c>
      <c r="H21" s="20" t="n">
        <v>2.5148635</v>
      </c>
      <c r="I21" s="18" t="s">
        <v>349</v>
      </c>
      <c r="J21" s="20" t="s">
        <v>349</v>
      </c>
      <c r="K21" s="18" t="n">
        <v>0</v>
      </c>
      <c r="L21" s="20" t="n">
        <v>0</v>
      </c>
      <c r="M21" s="18" t="n">
        <v>0</v>
      </c>
      <c r="N21" s="20" t="n">
        <v>0</v>
      </c>
      <c r="O21" s="18" t="n">
        <v>0</v>
      </c>
      <c r="P21" s="20" t="n">
        <v>0</v>
      </c>
      <c r="Q21" s="18" t="n">
        <v>0.3867517</v>
      </c>
      <c r="R21" s="20" t="n">
        <v>0.27137707</v>
      </c>
    </row>
    <row r="22" spans="1:18">
      <c r="A22" s="15" t="s">
        <v>364</v>
      </c>
      <c r="B22" s="17" t="n">
        <v>3667</v>
      </c>
      <c r="C22" s="18">
        <f>(3196.0/B22*100)</f>
        <v/>
      </c>
      <c r="D22" s="19" t="n">
        <v>471</v>
      </c>
      <c r="E22" s="18" t="n">
        <v>37.0392799</v>
      </c>
      <c r="F22" s="20" t="n">
        <v>2.23092146</v>
      </c>
      <c r="G22" s="18" t="n">
        <v>61.12101867</v>
      </c>
      <c r="H22" s="20" t="n">
        <v>2.27065476</v>
      </c>
      <c r="I22" s="18" t="s">
        <v>349</v>
      </c>
      <c r="J22" s="20" t="s">
        <v>349</v>
      </c>
      <c r="K22" s="18" t="n">
        <v>0</v>
      </c>
      <c r="L22" s="20" t="n">
        <v>0</v>
      </c>
      <c r="M22" s="18" t="n">
        <v>0</v>
      </c>
      <c r="N22" s="20" t="n">
        <v>0</v>
      </c>
      <c r="O22" s="18" t="n">
        <v>0</v>
      </c>
      <c r="P22" s="20" t="n">
        <v>0</v>
      </c>
      <c r="Q22" s="18" t="n">
        <v>1.83970143</v>
      </c>
      <c r="R22" s="20" t="n">
        <v>0.5948460800000001</v>
      </c>
    </row>
    <row r="23" spans="1:18">
      <c r="A23" s="15" t="s">
        <v>365</v>
      </c>
      <c r="B23" s="17" t="n">
        <v>5792</v>
      </c>
      <c r="C23" s="18">
        <f>(5051.0/B23*100)</f>
        <v/>
      </c>
      <c r="D23" s="19" t="n">
        <v>741</v>
      </c>
      <c r="E23" s="18" t="n">
        <v>22.4684508</v>
      </c>
      <c r="F23" s="20" t="n">
        <v>2.24853043</v>
      </c>
      <c r="G23" s="18" t="n">
        <v>77.11518516</v>
      </c>
      <c r="H23" s="20" t="n">
        <v>2.2576702</v>
      </c>
      <c r="I23" s="18" t="s">
        <v>349</v>
      </c>
      <c r="J23" s="20" t="s">
        <v>349</v>
      </c>
      <c r="K23" s="18" t="n">
        <v>0.28184269</v>
      </c>
      <c r="L23" s="20" t="n">
        <v>0.21800738</v>
      </c>
      <c r="M23" s="18" t="n">
        <v>0</v>
      </c>
      <c r="N23" s="20" t="n">
        <v>0</v>
      </c>
      <c r="O23" s="18" t="n">
        <v>0</v>
      </c>
      <c r="P23" s="20" t="n">
        <v>0</v>
      </c>
      <c r="Q23" s="18" t="n">
        <v>0.13452135</v>
      </c>
      <c r="R23" s="20" t="n">
        <v>0.13038149</v>
      </c>
    </row>
    <row r="24" spans="1:18">
      <c r="A24" s="15" t="s">
        <v>366</v>
      </c>
      <c r="B24" s="17" t="n">
        <v>3309</v>
      </c>
      <c r="C24" s="18">
        <f>(2879.0/B24*100)</f>
        <v/>
      </c>
      <c r="D24" s="19" t="n">
        <v>430</v>
      </c>
      <c r="E24" s="18" t="n">
        <v>14.15415611</v>
      </c>
      <c r="F24" s="20" t="n">
        <v>1.40103992</v>
      </c>
      <c r="G24" s="18" t="n">
        <v>85.84584389</v>
      </c>
      <c r="H24" s="20" t="n">
        <v>1.40103992</v>
      </c>
      <c r="I24" s="18" t="s">
        <v>349</v>
      </c>
      <c r="J24" s="20" t="s">
        <v>349</v>
      </c>
      <c r="K24" s="18" t="n">
        <v>0</v>
      </c>
      <c r="L24" s="20" t="n">
        <v>0</v>
      </c>
      <c r="M24" s="18" t="n">
        <v>0</v>
      </c>
      <c r="N24" s="20" t="n">
        <v>0</v>
      </c>
      <c r="O24" s="18" t="n">
        <v>0</v>
      </c>
      <c r="P24" s="20" t="n">
        <v>0</v>
      </c>
      <c r="Q24" s="18" t="n">
        <v>0</v>
      </c>
      <c r="R24" s="20" t="n">
        <v>0</v>
      </c>
    </row>
    <row r="25" spans="1:18">
      <c r="A25" s="15" t="s">
        <v>367</v>
      </c>
      <c r="B25" s="17" t="n">
        <v>2669</v>
      </c>
      <c r="C25" s="18">
        <f>(2340.0/B25*100)</f>
        <v/>
      </c>
      <c r="D25" s="19" t="n">
        <v>329</v>
      </c>
      <c r="E25" s="18" t="n">
        <v>19.49939623</v>
      </c>
      <c r="F25" s="20" t="n">
        <v>2.29390689</v>
      </c>
      <c r="G25" s="18" t="n">
        <v>80.50060377</v>
      </c>
      <c r="H25" s="20" t="n">
        <v>2.29390689</v>
      </c>
      <c r="I25" s="18" t="s">
        <v>349</v>
      </c>
      <c r="J25" s="20" t="s">
        <v>349</v>
      </c>
      <c r="K25" s="18" t="n">
        <v>0</v>
      </c>
      <c r="L25" s="20" t="n">
        <v>0</v>
      </c>
      <c r="M25" s="18" t="n">
        <v>0</v>
      </c>
      <c r="N25" s="20" t="n">
        <v>0</v>
      </c>
      <c r="O25" s="18" t="n">
        <v>0</v>
      </c>
      <c r="P25" s="20" t="n">
        <v>0</v>
      </c>
      <c r="Q25" s="18" t="n">
        <v>0</v>
      </c>
      <c r="R25" s="20" t="n">
        <v>0</v>
      </c>
    </row>
    <row r="26" spans="1:18">
      <c r="A26" s="15" t="s">
        <v>368</v>
      </c>
      <c r="B26" s="17" t="n">
        <v>2419</v>
      </c>
      <c r="C26" s="18">
        <f>(2121.0/B26*100)</f>
        <v/>
      </c>
      <c r="D26" s="19" t="n">
        <v>298</v>
      </c>
      <c r="E26" s="18" t="n">
        <v>23.42499639</v>
      </c>
      <c r="F26" s="20" t="n">
        <v>2.43721522</v>
      </c>
      <c r="G26" s="18" t="n">
        <v>76.25127092</v>
      </c>
      <c r="H26" s="20" t="n">
        <v>2.43408311</v>
      </c>
      <c r="I26" s="18" t="s">
        <v>349</v>
      </c>
      <c r="J26" s="20" t="s">
        <v>349</v>
      </c>
      <c r="K26" s="18" t="n">
        <v>0</v>
      </c>
      <c r="L26" s="20" t="n">
        <v>0</v>
      </c>
      <c r="M26" s="18" t="n">
        <v>0</v>
      </c>
      <c r="N26" s="20" t="n">
        <v>0</v>
      </c>
      <c r="O26" s="18" t="n">
        <v>0</v>
      </c>
      <c r="P26" s="20" t="n">
        <v>0</v>
      </c>
      <c r="Q26" s="18" t="n">
        <v>0.32373269</v>
      </c>
      <c r="R26" s="20" t="n">
        <v>0.33628854</v>
      </c>
    </row>
    <row r="27" spans="1:18">
      <c r="A27" s="15" t="s">
        <v>369</v>
      </c>
      <c r="B27" s="17" t="n">
        <v>2683</v>
      </c>
      <c r="C27" s="18">
        <f>(2363.0/B27*100)</f>
        <v/>
      </c>
      <c r="D27" s="19" t="n">
        <v>320</v>
      </c>
      <c r="E27" s="18" t="n">
        <v>18.78034419</v>
      </c>
      <c r="F27" s="20" t="n">
        <v>2.10878008</v>
      </c>
      <c r="G27" s="18" t="n">
        <v>80.90059884999999</v>
      </c>
      <c r="H27" s="20" t="n">
        <v>2.13724755</v>
      </c>
      <c r="I27" s="18" t="s">
        <v>349</v>
      </c>
      <c r="J27" s="20" t="s">
        <v>349</v>
      </c>
      <c r="K27" s="18" t="n">
        <v>0</v>
      </c>
      <c r="L27" s="20" t="n">
        <v>0</v>
      </c>
      <c r="M27" s="18" t="n">
        <v>0</v>
      </c>
      <c r="N27" s="20" t="n">
        <v>0</v>
      </c>
      <c r="O27" s="18" t="n">
        <v>0</v>
      </c>
      <c r="P27" s="20" t="n">
        <v>0</v>
      </c>
      <c r="Q27" s="18" t="n">
        <v>0.31905696</v>
      </c>
      <c r="R27" s="20" t="n">
        <v>0.31863798</v>
      </c>
    </row>
    <row r="28" spans="1:18">
      <c r="A28" s="15" t="s">
        <v>370</v>
      </c>
      <c r="B28" s="17" t="n">
        <v>3803</v>
      </c>
      <c r="C28" s="18">
        <f>(3339.0/B28*100)</f>
        <v/>
      </c>
      <c r="D28" s="19" t="n">
        <v>464</v>
      </c>
      <c r="E28" s="18" t="n">
        <v>35.89566676</v>
      </c>
      <c r="F28" s="20" t="n">
        <v>2.33791649</v>
      </c>
      <c r="G28" s="18" t="n">
        <v>63.05035162</v>
      </c>
      <c r="H28" s="20" t="n">
        <v>2.32708393</v>
      </c>
      <c r="I28" s="18" t="s">
        <v>349</v>
      </c>
      <c r="J28" s="20" t="s">
        <v>349</v>
      </c>
      <c r="K28" s="18" t="n">
        <v>0</v>
      </c>
      <c r="L28" s="20" t="n">
        <v>0</v>
      </c>
      <c r="M28" s="18" t="n">
        <v>0</v>
      </c>
      <c r="N28" s="20" t="n">
        <v>0</v>
      </c>
      <c r="O28" s="18" t="n">
        <v>0</v>
      </c>
      <c r="P28" s="20" t="n">
        <v>0</v>
      </c>
      <c r="Q28" s="18" t="n">
        <v>1.05398162</v>
      </c>
      <c r="R28" s="20" t="n">
        <v>0.62295869</v>
      </c>
    </row>
    <row r="29" spans="1:18">
      <c r="A29" s="15" t="s">
        <v>371</v>
      </c>
      <c r="B29" s="17" t="n">
        <v>2700</v>
      </c>
      <c r="C29" s="18">
        <f>(2389.0/B29*100)</f>
        <v/>
      </c>
      <c r="D29" s="19" t="n">
        <v>311</v>
      </c>
      <c r="E29" s="18" t="n">
        <v>16.04689562</v>
      </c>
      <c r="F29" s="20" t="n">
        <v>2.29664389</v>
      </c>
      <c r="G29" s="18" t="n">
        <v>83.95310438</v>
      </c>
      <c r="H29" s="20" t="n">
        <v>2.29664389</v>
      </c>
      <c r="I29" s="18" t="s">
        <v>349</v>
      </c>
      <c r="J29" s="20" t="s">
        <v>349</v>
      </c>
      <c r="K29" s="18" t="n">
        <v>0</v>
      </c>
      <c r="L29" s="20" t="n">
        <v>0</v>
      </c>
      <c r="M29" s="18" t="n">
        <v>0</v>
      </c>
      <c r="N29" s="20" t="n">
        <v>0</v>
      </c>
      <c r="O29" s="18" t="n">
        <v>0</v>
      </c>
      <c r="P29" s="20" t="n">
        <v>0</v>
      </c>
      <c r="Q29" s="18" t="n">
        <v>0</v>
      </c>
      <c r="R29" s="20" t="n">
        <v>0</v>
      </c>
    </row>
    <row r="30" spans="1:18">
      <c r="A30" s="15" t="s">
        <v>372</v>
      </c>
      <c r="B30" s="17" t="n">
        <v>2257</v>
      </c>
      <c r="C30" s="18">
        <f>(1964.0/B30*100)</f>
        <v/>
      </c>
      <c r="D30" s="19" t="n">
        <v>293</v>
      </c>
      <c r="E30" s="18" t="n">
        <v>21.0643546</v>
      </c>
      <c r="F30" s="20" t="n">
        <v>2.39437956</v>
      </c>
      <c r="G30" s="18" t="n">
        <v>78.36506289</v>
      </c>
      <c r="H30" s="20" t="n">
        <v>2.42300466</v>
      </c>
      <c r="I30" s="18" t="s">
        <v>349</v>
      </c>
      <c r="J30" s="20" t="s">
        <v>349</v>
      </c>
      <c r="K30" s="18" t="n">
        <v>0</v>
      </c>
      <c r="L30" s="20" t="n">
        <v>0</v>
      </c>
      <c r="M30" s="18" t="n">
        <v>0</v>
      </c>
      <c r="N30" s="20" t="n">
        <v>0</v>
      </c>
      <c r="O30" s="18" t="n">
        <v>0</v>
      </c>
      <c r="P30" s="20" t="n">
        <v>0</v>
      </c>
      <c r="Q30" s="18" t="n">
        <v>0.57058251</v>
      </c>
      <c r="R30" s="20" t="n">
        <v>0.40627815</v>
      </c>
    </row>
    <row r="31" spans="1:18">
      <c r="A31" s="15" t="s">
        <v>373</v>
      </c>
      <c r="B31" s="17" t="n">
        <v>2706</v>
      </c>
      <c r="C31" s="18">
        <f>(2369.0/B31*100)</f>
        <v/>
      </c>
      <c r="D31" s="19" t="n">
        <v>337</v>
      </c>
      <c r="E31" s="18" t="n">
        <v>16.3952612</v>
      </c>
      <c r="F31" s="20" t="n">
        <v>1.81914654</v>
      </c>
      <c r="G31" s="18" t="n">
        <v>83.3402957</v>
      </c>
      <c r="H31" s="20" t="n">
        <v>1.88045746</v>
      </c>
      <c r="I31" s="18" t="s">
        <v>349</v>
      </c>
      <c r="J31" s="20" t="s">
        <v>349</v>
      </c>
      <c r="K31" s="18" t="n">
        <v>0</v>
      </c>
      <c r="L31" s="20" t="n">
        <v>0</v>
      </c>
      <c r="M31" s="18" t="n">
        <v>0</v>
      </c>
      <c r="N31" s="20" t="n">
        <v>0</v>
      </c>
      <c r="O31" s="18" t="n">
        <v>0</v>
      </c>
      <c r="P31" s="20" t="n">
        <v>0</v>
      </c>
      <c r="Q31" s="18" t="n">
        <v>0.2644431</v>
      </c>
      <c r="R31" s="20" t="n">
        <v>0.26511986</v>
      </c>
    </row>
    <row r="32" spans="1:18">
      <c r="A32" s="15" t="s">
        <v>374</v>
      </c>
      <c r="B32" s="17" t="n">
        <v>2209</v>
      </c>
      <c r="C32" s="18">
        <f>(1855.0/B32*100)</f>
        <v/>
      </c>
      <c r="D32" s="19" t="n">
        <v>354</v>
      </c>
      <c r="E32" s="18" t="n">
        <v>23.26724475</v>
      </c>
      <c r="F32" s="20" t="n">
        <v>2.55090269</v>
      </c>
      <c r="G32" s="18" t="n">
        <v>76.15768768</v>
      </c>
      <c r="H32" s="20" t="n">
        <v>2.58060803</v>
      </c>
      <c r="I32" s="18" t="s">
        <v>349</v>
      </c>
      <c r="J32" s="20" t="s">
        <v>349</v>
      </c>
      <c r="K32" s="18" t="n">
        <v>0</v>
      </c>
      <c r="L32" s="20" t="n">
        <v>0</v>
      </c>
      <c r="M32" s="18" t="n">
        <v>0</v>
      </c>
      <c r="N32" s="20" t="n">
        <v>0</v>
      </c>
      <c r="O32" s="18" t="n">
        <v>0</v>
      </c>
      <c r="P32" s="20" t="n">
        <v>0</v>
      </c>
      <c r="Q32" s="18" t="n">
        <v>0.57506757</v>
      </c>
      <c r="R32" s="20" t="n">
        <v>0.39519177</v>
      </c>
    </row>
    <row r="33" spans="1:18">
      <c r="A33" s="15" t="s">
        <v>375</v>
      </c>
      <c r="B33" s="17" t="n">
        <v>3651</v>
      </c>
      <c r="C33" s="18">
        <f>(3204.0/B33*100)</f>
        <v/>
      </c>
      <c r="D33" s="19" t="n">
        <v>447</v>
      </c>
      <c r="E33" s="18" t="n">
        <v>21.54107125</v>
      </c>
      <c r="F33" s="20" t="n">
        <v>2.01023275</v>
      </c>
      <c r="G33" s="18" t="n">
        <v>78.21133911</v>
      </c>
      <c r="H33" s="20" t="n">
        <v>2.00239358</v>
      </c>
      <c r="I33" s="18" t="s">
        <v>349</v>
      </c>
      <c r="J33" s="20" t="s">
        <v>349</v>
      </c>
      <c r="K33" s="18" t="n">
        <v>0</v>
      </c>
      <c r="L33" s="20" t="n">
        <v>0</v>
      </c>
      <c r="M33" s="18" t="n">
        <v>0</v>
      </c>
      <c r="N33" s="20" t="n">
        <v>0</v>
      </c>
      <c r="O33" s="18" t="n">
        <v>0</v>
      </c>
      <c r="P33" s="20" t="n">
        <v>0</v>
      </c>
      <c r="Q33" s="18" t="n">
        <v>0.24758964</v>
      </c>
      <c r="R33" s="20" t="n">
        <v>0.20852944</v>
      </c>
    </row>
    <row r="34" spans="1:18">
      <c r="A34" s="15" t="s">
        <v>376</v>
      </c>
      <c r="B34" s="17" t="n">
        <v>3035</v>
      </c>
      <c r="C34" s="18">
        <f>(2673.0/B34*100)</f>
        <v/>
      </c>
      <c r="D34" s="19" t="n">
        <v>362</v>
      </c>
      <c r="E34" s="18" t="n">
        <v>22.34013976</v>
      </c>
      <c r="F34" s="20" t="n">
        <v>2.45029343</v>
      </c>
      <c r="G34" s="18" t="n">
        <v>76.63812837</v>
      </c>
      <c r="H34" s="20" t="n">
        <v>2.43413123</v>
      </c>
      <c r="I34" s="18" t="s">
        <v>349</v>
      </c>
      <c r="J34" s="20" t="s">
        <v>349</v>
      </c>
      <c r="K34" s="18" t="n">
        <v>0</v>
      </c>
      <c r="L34" s="20" t="n">
        <v>0</v>
      </c>
      <c r="M34" s="18" t="n">
        <v>0</v>
      </c>
      <c r="N34" s="20" t="n">
        <v>0</v>
      </c>
      <c r="O34" s="18" t="n">
        <v>0</v>
      </c>
      <c r="P34" s="20" t="n">
        <v>0</v>
      </c>
      <c r="Q34" s="18" t="n">
        <v>1.02173187</v>
      </c>
      <c r="R34" s="20" t="n">
        <v>0.52697609</v>
      </c>
    </row>
    <row r="35" spans="1:18">
      <c r="A35" s="15" t="s">
        <v>377</v>
      </c>
      <c r="B35" s="17" t="n">
        <v>2901</v>
      </c>
      <c r="C35" s="18">
        <f>(2545.0/B35*100)</f>
        <v/>
      </c>
      <c r="D35" s="19" t="n">
        <v>356</v>
      </c>
      <c r="E35" s="18" t="n">
        <v>22.8469678</v>
      </c>
      <c r="F35" s="20" t="n">
        <v>2.87798121</v>
      </c>
      <c r="G35" s="18" t="n">
        <v>76.77989624</v>
      </c>
      <c r="H35" s="20" t="n">
        <v>2.95249534</v>
      </c>
      <c r="I35" s="18" t="s">
        <v>349</v>
      </c>
      <c r="J35" s="20" t="s">
        <v>349</v>
      </c>
      <c r="K35" s="18" t="n">
        <v>0</v>
      </c>
      <c r="L35" s="20" t="n">
        <v>0</v>
      </c>
      <c r="M35" s="18" t="n">
        <v>0</v>
      </c>
      <c r="N35" s="20" t="n">
        <v>0</v>
      </c>
      <c r="O35" s="18" t="n">
        <v>0</v>
      </c>
      <c r="P35" s="20" t="n">
        <v>0</v>
      </c>
      <c r="Q35" s="18" t="n">
        <v>0.37313596</v>
      </c>
      <c r="R35" s="20" t="n">
        <v>0.37080047</v>
      </c>
    </row>
    <row r="36" spans="1:18">
      <c r="A36" s="15" t="s">
        <v>378</v>
      </c>
      <c r="B36" s="17" t="n">
        <v>3404</v>
      </c>
      <c r="C36" s="18">
        <f>(2999.0/B36*100)</f>
        <v/>
      </c>
      <c r="D36" s="19" t="n">
        <v>405</v>
      </c>
      <c r="E36" s="18" t="n">
        <v>22.68586152</v>
      </c>
      <c r="F36" s="20" t="n">
        <v>2.23043156</v>
      </c>
      <c r="G36" s="18" t="n">
        <v>76.79717142</v>
      </c>
      <c r="H36" s="20" t="n">
        <v>2.22387478</v>
      </c>
      <c r="I36" s="18" t="s">
        <v>349</v>
      </c>
      <c r="J36" s="20" t="s">
        <v>349</v>
      </c>
      <c r="K36" s="18" t="n">
        <v>0.37515394</v>
      </c>
      <c r="L36" s="20" t="n">
        <v>0.38415819</v>
      </c>
      <c r="M36" s="18" t="n">
        <v>0</v>
      </c>
      <c r="N36" s="20" t="n">
        <v>0</v>
      </c>
      <c r="O36" s="18" t="n">
        <v>0</v>
      </c>
      <c r="P36" s="20" t="n">
        <v>0</v>
      </c>
      <c r="Q36" s="18" t="n">
        <v>0.14181313</v>
      </c>
      <c r="R36" s="20" t="n">
        <v>0.10044111</v>
      </c>
    </row>
    <row r="37" spans="1:18">
      <c r="A37" s="15" t="s">
        <v>379</v>
      </c>
      <c r="B37" s="17" t="n">
        <v>2731</v>
      </c>
      <c r="C37" s="18">
        <f>(2409.0/B37*100)</f>
        <v/>
      </c>
      <c r="D37" s="19" t="n">
        <v>322</v>
      </c>
      <c r="E37" s="18" t="n">
        <v>16.92602532</v>
      </c>
      <c r="F37" s="20" t="n">
        <v>2.04113009</v>
      </c>
      <c r="G37" s="18" t="n">
        <v>81.80937075</v>
      </c>
      <c r="H37" s="20" t="n">
        <v>2.10583857</v>
      </c>
      <c r="I37" s="18" t="s">
        <v>349</v>
      </c>
      <c r="J37" s="20" t="s">
        <v>349</v>
      </c>
      <c r="K37" s="18" t="n">
        <v>0.34561805</v>
      </c>
      <c r="L37" s="20" t="n">
        <v>0.33911764</v>
      </c>
      <c r="M37" s="18" t="n">
        <v>0</v>
      </c>
      <c r="N37" s="20" t="n">
        <v>0</v>
      </c>
      <c r="O37" s="18" t="n">
        <v>0</v>
      </c>
      <c r="P37" s="20" t="n">
        <v>0</v>
      </c>
      <c r="Q37" s="18" t="n">
        <v>0.91898588</v>
      </c>
      <c r="R37" s="20" t="n">
        <v>0.53814627</v>
      </c>
    </row>
    <row r="38" spans="1:18">
      <c r="A38" s="15" t="s">
        <v>380</v>
      </c>
      <c r="B38" s="17" t="n">
        <v>2807</v>
      </c>
      <c r="C38" s="18">
        <f>(2341.0/B38*100)</f>
        <v/>
      </c>
      <c r="D38" s="19" t="n">
        <v>466</v>
      </c>
      <c r="E38" s="18" t="n">
        <v>11.68073107</v>
      </c>
      <c r="F38" s="20" t="n">
        <v>1.40200268</v>
      </c>
      <c r="G38" s="18" t="n">
        <v>88.08905453</v>
      </c>
      <c r="H38" s="20" t="n">
        <v>1.41838466</v>
      </c>
      <c r="I38" s="18" t="s">
        <v>349</v>
      </c>
      <c r="J38" s="20" t="s">
        <v>349</v>
      </c>
      <c r="K38" s="18" t="n">
        <v>0</v>
      </c>
      <c r="L38" s="20" t="n">
        <v>0</v>
      </c>
      <c r="M38" s="18" t="n">
        <v>0</v>
      </c>
      <c r="N38" s="20" t="n">
        <v>0</v>
      </c>
      <c r="O38" s="18" t="n">
        <v>0</v>
      </c>
      <c r="P38" s="20" t="n">
        <v>0</v>
      </c>
      <c r="Q38" s="18" t="n">
        <v>0.2302144</v>
      </c>
      <c r="R38" s="20" t="n">
        <v>0.24591321</v>
      </c>
    </row>
    <row r="39" spans="1:18">
      <c r="A39" s="15" t="s">
        <v>381</v>
      </c>
      <c r="B39" s="17" t="n">
        <v>2938</v>
      </c>
      <c r="C39" s="18">
        <f>(2578.0/B39*100)</f>
        <v/>
      </c>
      <c r="D39" s="19" t="n">
        <v>360</v>
      </c>
      <c r="E39" s="18" t="n">
        <v>41.74658655</v>
      </c>
      <c r="F39" s="20" t="n">
        <v>2.29605506</v>
      </c>
      <c r="G39" s="18" t="n">
        <v>55.98128744</v>
      </c>
      <c r="H39" s="20" t="n">
        <v>2.41505028</v>
      </c>
      <c r="I39" s="18" t="s">
        <v>349</v>
      </c>
      <c r="J39" s="20" t="s">
        <v>349</v>
      </c>
      <c r="K39" s="18" t="n">
        <v>0.30201409</v>
      </c>
      <c r="L39" s="20" t="n">
        <v>0.42829795</v>
      </c>
      <c r="M39" s="18" t="n">
        <v>0</v>
      </c>
      <c r="N39" s="20" t="n">
        <v>0</v>
      </c>
      <c r="O39" s="18" t="n">
        <v>0</v>
      </c>
      <c r="P39" s="20" t="n">
        <v>0</v>
      </c>
      <c r="Q39" s="18" t="n">
        <v>1.97011191</v>
      </c>
      <c r="R39" s="20" t="n">
        <v>0.73907142</v>
      </c>
    </row>
    <row r="40" spans="1:18">
      <c r="A40" s="15" t="s">
        <v>382</v>
      </c>
      <c r="B40" s="17" t="n">
        <v>6922</v>
      </c>
      <c r="C40" s="18">
        <f>(6076.0/B40*100)</f>
        <v/>
      </c>
      <c r="D40" s="19" t="n">
        <v>846</v>
      </c>
      <c r="E40" s="18" t="n">
        <v>24.68412875</v>
      </c>
      <c r="F40" s="20" t="n">
        <v>2.39457768</v>
      </c>
      <c r="G40" s="18" t="n">
        <v>74.86319091999999</v>
      </c>
      <c r="H40" s="20" t="n">
        <v>2.39951275</v>
      </c>
      <c r="I40" s="18" t="s">
        <v>349</v>
      </c>
      <c r="J40" s="20" t="s">
        <v>349</v>
      </c>
      <c r="K40" s="18" t="n">
        <v>0</v>
      </c>
      <c r="L40" s="20" t="n">
        <v>0</v>
      </c>
      <c r="M40" s="18" t="n">
        <v>0</v>
      </c>
      <c r="N40" s="20" t="n">
        <v>0</v>
      </c>
      <c r="O40" s="18" t="n">
        <v>0</v>
      </c>
      <c r="P40" s="20" t="n">
        <v>0</v>
      </c>
      <c r="Q40" s="18" t="n">
        <v>0.45268033</v>
      </c>
      <c r="R40" s="20" t="n">
        <v>0.43479001</v>
      </c>
    </row>
    <row r="41" spans="1:18">
      <c r="A41" s="15" t="s">
        <v>383</v>
      </c>
      <c r="B41" s="17" t="n">
        <v>2854</v>
      </c>
      <c r="C41" s="18">
        <f>(2511.0/B41*100)</f>
        <v/>
      </c>
      <c r="D41" s="19" t="n">
        <v>343</v>
      </c>
      <c r="E41" s="18" t="n">
        <v>21.72350106</v>
      </c>
      <c r="F41" s="20" t="n">
        <v>2.19638817</v>
      </c>
      <c r="G41" s="18" t="n">
        <v>77.98220876000001</v>
      </c>
      <c r="H41" s="20" t="n">
        <v>2.2131336</v>
      </c>
      <c r="I41" s="18" t="s">
        <v>349</v>
      </c>
      <c r="J41" s="20" t="s">
        <v>349</v>
      </c>
      <c r="K41" s="18" t="n">
        <v>0</v>
      </c>
      <c r="L41" s="20" t="n">
        <v>0</v>
      </c>
      <c r="M41" s="18" t="n">
        <v>0</v>
      </c>
      <c r="N41" s="20" t="n">
        <v>0</v>
      </c>
      <c r="O41" s="18" t="n">
        <v>0</v>
      </c>
      <c r="P41" s="20" t="n">
        <v>0</v>
      </c>
      <c r="Q41" s="18" t="n">
        <v>0.29429018</v>
      </c>
      <c r="R41" s="20" t="n">
        <v>0.29570396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(10647.0/B46*100)</f>
        <v/>
      </c>
      <c r="D46" s="19" t="n">
        <v>1426</v>
      </c>
      <c r="E46" s="18" t="n">
        <v>38.27797622</v>
      </c>
      <c r="F46" s="20" t="n">
        <v>1.69538897</v>
      </c>
      <c r="G46" s="18" t="n">
        <v>58.28554508</v>
      </c>
      <c r="H46" s="20" t="n">
        <v>1.68272251</v>
      </c>
      <c r="I46" s="18" t="s">
        <v>349</v>
      </c>
      <c r="J46" s="20" t="s">
        <v>349</v>
      </c>
      <c r="K46" s="18" t="n">
        <v>0.21244274</v>
      </c>
      <c r="L46" s="20" t="n">
        <v>0.13991062</v>
      </c>
      <c r="M46" s="18" t="n">
        <v>0</v>
      </c>
      <c r="N46" s="20" t="n">
        <v>0</v>
      </c>
      <c r="O46" s="18" t="n">
        <v>0</v>
      </c>
      <c r="P46" s="20" t="n">
        <v>0</v>
      </c>
      <c r="Q46" s="18" t="n">
        <v>3.22403596</v>
      </c>
      <c r="R46" s="20" t="n">
        <v>0.56708811</v>
      </c>
    </row>
    <row r="47" spans="1:18">
      <c r="A47" s="15" t="s">
        <v>389</v>
      </c>
      <c r="B47" s="17" t="n">
        <v>2823</v>
      </c>
      <c r="C47" s="18">
        <f>(2481.0/B47*100)</f>
        <v/>
      </c>
      <c r="D47" s="19" t="n">
        <v>342</v>
      </c>
      <c r="E47" s="18" t="n">
        <v>32.31173599</v>
      </c>
      <c r="F47" s="20" t="n">
        <v>2.65284604</v>
      </c>
      <c r="G47" s="18" t="n">
        <v>65.35841341</v>
      </c>
      <c r="H47" s="20" t="n">
        <v>2.77562729</v>
      </c>
      <c r="I47" s="18" t="s">
        <v>349</v>
      </c>
      <c r="J47" s="20" t="s">
        <v>349</v>
      </c>
      <c r="K47" s="18" t="n">
        <v>0</v>
      </c>
      <c r="L47" s="20" t="n">
        <v>0</v>
      </c>
      <c r="M47" s="18" t="n">
        <v>0</v>
      </c>
      <c r="N47" s="20" t="n">
        <v>0</v>
      </c>
      <c r="O47" s="18" t="n">
        <v>0</v>
      </c>
      <c r="P47" s="20" t="n">
        <v>0</v>
      </c>
      <c r="Q47" s="18" t="n">
        <v>2.3298506</v>
      </c>
      <c r="R47" s="20" t="n">
        <v>1.00280402</v>
      </c>
    </row>
    <row r="48" spans="1:18">
      <c r="A48" s="15" t="s">
        <v>390</v>
      </c>
      <c r="B48" s="17" t="n">
        <v>4682</v>
      </c>
      <c r="C48" s="18">
        <f>(4099.0/B48*100)</f>
        <v/>
      </c>
      <c r="D48" s="19" t="n">
        <v>583</v>
      </c>
      <c r="E48" s="18" t="n">
        <v>30.78853999</v>
      </c>
      <c r="F48" s="20" t="n">
        <v>2.56002023</v>
      </c>
      <c r="G48" s="18" t="n">
        <v>68.62122834</v>
      </c>
      <c r="H48" s="20" t="n">
        <v>2.58316717</v>
      </c>
      <c r="I48" s="18" t="s">
        <v>349</v>
      </c>
      <c r="J48" s="20" t="s">
        <v>349</v>
      </c>
      <c r="K48" s="18" t="n">
        <v>0</v>
      </c>
      <c r="L48" s="20" t="n">
        <v>0</v>
      </c>
      <c r="M48" s="18" t="n">
        <v>0</v>
      </c>
      <c r="N48" s="20" t="n">
        <v>0</v>
      </c>
      <c r="O48" s="18" t="n">
        <v>0</v>
      </c>
      <c r="P48" s="20" t="n">
        <v>0</v>
      </c>
      <c r="Q48" s="18" t="n">
        <v>0.59023167</v>
      </c>
      <c r="R48" s="20" t="n">
        <v>0.38616627</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(5395.0/B50*100)</f>
        <v/>
      </c>
      <c r="D50" s="19" t="n">
        <v>763</v>
      </c>
      <c r="E50" s="18" t="n">
        <v>36.61822169</v>
      </c>
      <c r="F50" s="20" t="n">
        <v>2.30376205</v>
      </c>
      <c r="G50" s="18" t="n">
        <v>61.30100643</v>
      </c>
      <c r="H50" s="20" t="n">
        <v>2.21474371</v>
      </c>
      <c r="I50" s="18" t="s">
        <v>349</v>
      </c>
      <c r="J50" s="20" t="s">
        <v>349</v>
      </c>
      <c r="K50" s="18" t="n">
        <v>0.19397704</v>
      </c>
      <c r="L50" s="20" t="n">
        <v>0.11089483</v>
      </c>
      <c r="M50" s="18" t="n">
        <v>0</v>
      </c>
      <c r="N50" s="20" t="n">
        <v>0</v>
      </c>
      <c r="O50" s="18" t="n">
        <v>0</v>
      </c>
      <c r="P50" s="20" t="n">
        <v>0</v>
      </c>
      <c r="Q50" s="18" t="n">
        <v>1.88679483</v>
      </c>
      <c r="R50" s="20" t="n">
        <v>0.7244323499999999</v>
      </c>
    </row>
    <row r="51" spans="1:18">
      <c r="A51" s="15" t="s">
        <v>393</v>
      </c>
      <c r="B51" s="17" t="n">
        <v>3494</v>
      </c>
      <c r="C51" s="18">
        <f>(3091.0/B51*100)</f>
        <v/>
      </c>
      <c r="D51" s="19" t="n">
        <v>403</v>
      </c>
      <c r="E51" s="18" t="n">
        <v>40.17131412</v>
      </c>
      <c r="F51" s="20" t="n">
        <v>2.60061784</v>
      </c>
      <c r="G51" s="18" t="n">
        <v>58.58138867</v>
      </c>
      <c r="H51" s="20" t="n">
        <v>2.58747252</v>
      </c>
      <c r="I51" s="18" t="s">
        <v>349</v>
      </c>
      <c r="J51" s="20" t="s">
        <v>349</v>
      </c>
      <c r="K51" s="18" t="n">
        <v>0</v>
      </c>
      <c r="L51" s="20" t="n">
        <v>0</v>
      </c>
      <c r="M51" s="18" t="n">
        <v>0</v>
      </c>
      <c r="N51" s="20" t="n">
        <v>0</v>
      </c>
      <c r="O51" s="18" t="n">
        <v>0</v>
      </c>
      <c r="P51" s="20" t="n">
        <v>0</v>
      </c>
      <c r="Q51" s="18" t="n">
        <v>1.24729722</v>
      </c>
      <c r="R51" s="20" t="n">
        <v>0.65926137</v>
      </c>
    </row>
    <row r="52" spans="1:18">
      <c r="A52" s="15" t="s">
        <v>394</v>
      </c>
      <c r="B52" s="17" t="n">
        <v>3013</v>
      </c>
      <c r="C52" s="18">
        <f>(2644.0/B52*100)</f>
        <v/>
      </c>
      <c r="D52" s="19" t="n">
        <v>369</v>
      </c>
      <c r="E52" s="18" t="n">
        <v>30.52214753</v>
      </c>
      <c r="F52" s="20" t="n">
        <v>2.66922398</v>
      </c>
      <c r="G52" s="18" t="n">
        <v>68.78209796</v>
      </c>
      <c r="H52" s="20" t="n">
        <v>2.69245087</v>
      </c>
      <c r="I52" s="18" t="s">
        <v>349</v>
      </c>
      <c r="J52" s="20" t="s">
        <v>349</v>
      </c>
      <c r="K52" s="18" t="n">
        <v>0</v>
      </c>
      <c r="L52" s="20" t="n">
        <v>0</v>
      </c>
      <c r="M52" s="18" t="n">
        <v>0</v>
      </c>
      <c r="N52" s="20" t="n">
        <v>0</v>
      </c>
      <c r="O52" s="18" t="n">
        <v>0</v>
      </c>
      <c r="P52" s="20" t="n">
        <v>0</v>
      </c>
      <c r="Q52" s="18" t="n">
        <v>0.69575451</v>
      </c>
      <c r="R52" s="20" t="n">
        <v>0.5098080699999999</v>
      </c>
    </row>
    <row r="53" spans="1:18">
      <c r="A53" s="15" t="s">
        <v>395</v>
      </c>
      <c r="B53" s="17" t="n">
        <v>2760</v>
      </c>
      <c r="C53" s="18">
        <f>(2414.0/B53*100)</f>
        <v/>
      </c>
      <c r="D53" s="19" t="n">
        <v>346</v>
      </c>
      <c r="E53" s="18" t="n">
        <v>26.83984706</v>
      </c>
      <c r="F53" s="20" t="n">
        <v>2.52054039</v>
      </c>
      <c r="G53" s="18" t="n">
        <v>72.31584472999999</v>
      </c>
      <c r="H53" s="20" t="n">
        <v>2.51942796</v>
      </c>
      <c r="I53" s="18" t="s">
        <v>349</v>
      </c>
      <c r="J53" s="20" t="s">
        <v>349</v>
      </c>
      <c r="K53" s="18" t="n">
        <v>0</v>
      </c>
      <c r="L53" s="20" t="n">
        <v>0</v>
      </c>
      <c r="M53" s="18" t="n">
        <v>0</v>
      </c>
      <c r="N53" s="20" t="n">
        <v>0</v>
      </c>
      <c r="O53" s="18" t="n">
        <v>0</v>
      </c>
      <c r="P53" s="20" t="n">
        <v>0</v>
      </c>
      <c r="Q53" s="18" t="n">
        <v>0.84430821</v>
      </c>
      <c r="R53" s="20" t="n">
        <v>0.4981646</v>
      </c>
    </row>
    <row r="54" spans="1:18">
      <c r="A54" s="15" t="s">
        <v>396</v>
      </c>
      <c r="B54" s="17" t="n">
        <v>2474</v>
      </c>
      <c r="C54" s="18">
        <f>(2085.0/B54*100)</f>
        <v/>
      </c>
      <c r="D54" s="19" t="n">
        <v>389</v>
      </c>
      <c r="E54" s="18" t="n">
        <v>51.21521917</v>
      </c>
      <c r="F54" s="20" t="n">
        <v>2.73416709</v>
      </c>
      <c r="G54" s="18" t="n">
        <v>43.36263413</v>
      </c>
      <c r="H54" s="20" t="n">
        <v>2.76655494</v>
      </c>
      <c r="I54" s="18" t="s">
        <v>349</v>
      </c>
      <c r="J54" s="20" t="s">
        <v>349</v>
      </c>
      <c r="K54" s="18" t="n">
        <v>1.561786</v>
      </c>
      <c r="L54" s="20" t="n">
        <v>0.74504817</v>
      </c>
      <c r="M54" s="18" t="n">
        <v>0</v>
      </c>
      <c r="N54" s="20" t="n">
        <v>0</v>
      </c>
      <c r="O54" s="18" t="n">
        <v>0</v>
      </c>
      <c r="P54" s="20" t="n">
        <v>0</v>
      </c>
      <c r="Q54" s="18" t="n">
        <v>3.8603607</v>
      </c>
      <c r="R54" s="20" t="n">
        <v>1.30792224</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(2323.0/B56*100)</f>
        <v/>
      </c>
      <c r="D56" s="19" t="n">
        <v>352</v>
      </c>
      <c r="E56" s="18" t="n">
        <v>20.92655439</v>
      </c>
      <c r="F56" s="20" t="n">
        <v>2.03694034</v>
      </c>
      <c r="G56" s="18" t="n">
        <v>79.07344560999999</v>
      </c>
      <c r="H56" s="20" t="n">
        <v>2.03694034</v>
      </c>
      <c r="I56" s="18" t="s">
        <v>349</v>
      </c>
      <c r="J56" s="20" t="s">
        <v>349</v>
      </c>
      <c r="K56" s="18" t="n">
        <v>0</v>
      </c>
      <c r="L56" s="20" t="n">
        <v>0</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(2815.0/B61*100)</f>
        <v/>
      </c>
      <c r="D61" s="19" t="n">
        <v>386</v>
      </c>
      <c r="E61" s="18" t="n">
        <v>25.41457349</v>
      </c>
      <c r="F61" s="20" t="n">
        <v>2.49397373</v>
      </c>
      <c r="G61" s="18" t="n">
        <v>73.24326483999999</v>
      </c>
      <c r="H61" s="20" t="n">
        <v>2.53737136</v>
      </c>
      <c r="I61" s="18" t="s">
        <v>349</v>
      </c>
      <c r="J61" s="20" t="s">
        <v>349</v>
      </c>
      <c r="K61" s="18" t="n">
        <v>0.5810858</v>
      </c>
      <c r="L61" s="20" t="n">
        <v>0.41310436</v>
      </c>
      <c r="M61" s="18" t="n">
        <v>0</v>
      </c>
      <c r="N61" s="20" t="n">
        <v>0</v>
      </c>
      <c r="O61" s="18" t="n">
        <v>0</v>
      </c>
      <c r="P61" s="20" t="n">
        <v>0</v>
      </c>
      <c r="Q61" s="18" t="n">
        <v>0.76107588</v>
      </c>
      <c r="R61" s="20" t="n">
        <v>0.53827327</v>
      </c>
    </row>
    <row r="62" spans="1:18">
      <c r="A62" s="15" t="s">
        <v>404</v>
      </c>
      <c r="B62" s="17" t="n">
        <v>2230</v>
      </c>
      <c r="C62" s="18">
        <f>(1945.0/B62*100)</f>
        <v/>
      </c>
      <c r="D62" s="19" t="n">
        <v>285</v>
      </c>
      <c r="E62" s="18" t="n">
        <v>14.43591555</v>
      </c>
      <c r="F62" s="20" t="n">
        <v>2.41540705</v>
      </c>
      <c r="G62" s="18" t="n">
        <v>85.56408445</v>
      </c>
      <c r="H62" s="20" t="n">
        <v>2.41540705</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(2431.0/B66*100)</f>
        <v/>
      </c>
      <c r="D66" s="19" t="n">
        <v>340</v>
      </c>
      <c r="E66" s="18" t="n">
        <v>39.1102545</v>
      </c>
      <c r="F66" s="20" t="n">
        <v>2.44073312</v>
      </c>
      <c r="G66" s="18" t="n">
        <v>60.63023613</v>
      </c>
      <c r="H66" s="20" t="n">
        <v>2.52821286</v>
      </c>
      <c r="I66" s="18" t="s">
        <v>349</v>
      </c>
      <c r="J66" s="20" t="s">
        <v>349</v>
      </c>
      <c r="K66" s="18" t="n">
        <v>0</v>
      </c>
      <c r="L66" s="20" t="n">
        <v>0</v>
      </c>
      <c r="M66" s="18" t="n">
        <v>0</v>
      </c>
      <c r="N66" s="20" t="n">
        <v>0</v>
      </c>
      <c r="O66" s="18" t="n">
        <v>0</v>
      </c>
      <c r="P66" s="20" t="n">
        <v>0</v>
      </c>
      <c r="Q66" s="18" t="n">
        <v>0.25950937</v>
      </c>
      <c r="R66" s="20" t="n">
        <v>0.25905775</v>
      </c>
    </row>
    <row r="67" spans="1:18">
      <c r="A67" s="15" t="s">
        <v>409</v>
      </c>
      <c r="B67" s="17" t="n">
        <v>3460</v>
      </c>
      <c r="C67" s="18">
        <f>(3033.0/B67*100)</f>
        <v/>
      </c>
      <c r="D67" s="19" t="n">
        <v>427</v>
      </c>
      <c r="E67" s="18" t="n">
        <v>42.87626024</v>
      </c>
      <c r="F67" s="20" t="n">
        <v>2.31565245</v>
      </c>
      <c r="G67" s="18" t="n">
        <v>54.34229311</v>
      </c>
      <c r="H67" s="20" t="n">
        <v>2.37256252</v>
      </c>
      <c r="I67" s="18" t="s">
        <v>349</v>
      </c>
      <c r="J67" s="20" t="s">
        <v>349</v>
      </c>
      <c r="K67" s="18" t="n">
        <v>0</v>
      </c>
      <c r="L67" s="20" t="n">
        <v>0</v>
      </c>
      <c r="M67" s="18" t="n">
        <v>0</v>
      </c>
      <c r="N67" s="20" t="n">
        <v>0</v>
      </c>
      <c r="O67" s="18" t="n">
        <v>0</v>
      </c>
      <c r="P67" s="20" t="n">
        <v>0</v>
      </c>
      <c r="Q67" s="18" t="n">
        <v>2.78144665</v>
      </c>
      <c r="R67" s="20" t="n">
        <v>1.05043929</v>
      </c>
    </row>
    <row r="68" spans="1:18">
      <c r="A68" s="15" t="s">
        <v>410</v>
      </c>
      <c r="B68" s="17" t="n">
        <v>6034</v>
      </c>
      <c r="C68" s="18">
        <f>(5021.0/B68*100)</f>
        <v/>
      </c>
      <c r="D68" s="19" t="n">
        <v>1013</v>
      </c>
      <c r="E68" s="18" t="n">
        <v>39.30312723</v>
      </c>
      <c r="F68" s="20" t="n">
        <v>1.60786456</v>
      </c>
      <c r="G68" s="18" t="n">
        <v>58.69034213</v>
      </c>
      <c r="H68" s="20" t="n">
        <v>1.60668641</v>
      </c>
      <c r="I68" s="18" t="s">
        <v>349</v>
      </c>
      <c r="J68" s="20" t="s">
        <v>349</v>
      </c>
      <c r="K68" s="18" t="n">
        <v>0.58301286</v>
      </c>
      <c r="L68" s="20" t="n">
        <v>0.19474705</v>
      </c>
      <c r="M68" s="18" t="n">
        <v>0</v>
      </c>
      <c r="N68" s="20" t="n">
        <v>0</v>
      </c>
      <c r="O68" s="18" t="n">
        <v>0</v>
      </c>
      <c r="P68" s="20" t="n">
        <v>0</v>
      </c>
      <c r="Q68" s="18" t="n">
        <v>1.42351778</v>
      </c>
      <c r="R68" s="20" t="n">
        <v>0.36816662</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(2711.0/B70*100)</f>
        <v/>
      </c>
      <c r="D70" s="19" t="n">
        <v>396</v>
      </c>
      <c r="E70" s="18" t="n">
        <v>20.05931352</v>
      </c>
      <c r="F70" s="20" t="n">
        <v>2.07662665</v>
      </c>
      <c r="G70" s="18" t="n">
        <v>79.79498058</v>
      </c>
      <c r="H70" s="20" t="n">
        <v>2.09209689</v>
      </c>
      <c r="I70" s="18" t="s">
        <v>349</v>
      </c>
      <c r="J70" s="20" t="s">
        <v>349</v>
      </c>
      <c r="K70" s="18" t="n">
        <v>0</v>
      </c>
      <c r="L70" s="20" t="n">
        <v>0</v>
      </c>
      <c r="M70" s="18" t="n">
        <v>0</v>
      </c>
      <c r="N70" s="20" t="n">
        <v>0</v>
      </c>
      <c r="O70" s="18" t="n">
        <v>0</v>
      </c>
      <c r="P70" s="20" t="n">
        <v>0</v>
      </c>
      <c r="Q70" s="18" t="n">
        <v>0.14570589</v>
      </c>
      <c r="R70" s="20" t="n">
        <v>0.14616886</v>
      </c>
    </row>
    <row r="71" spans="1:18">
      <c r="A71" s="15" t="s">
        <v>413</v>
      </c>
      <c r="B71" s="17" t="n">
        <v>2973</v>
      </c>
      <c r="C71" s="18">
        <f>(2612.0/B71*100)</f>
        <v/>
      </c>
      <c r="D71" s="19" t="n">
        <v>361</v>
      </c>
      <c r="E71" s="18" t="n">
        <v>16.10392674</v>
      </c>
      <c r="F71" s="20" t="n">
        <v>2.03175546</v>
      </c>
      <c r="G71" s="18" t="n">
        <v>83.57336069</v>
      </c>
      <c r="H71" s="20" t="n">
        <v>2.00008626</v>
      </c>
      <c r="I71" s="18" t="s">
        <v>349</v>
      </c>
      <c r="J71" s="20" t="s">
        <v>349</v>
      </c>
      <c r="K71" s="18" t="n">
        <v>0.32271257</v>
      </c>
      <c r="L71" s="20" t="n">
        <v>0.32499163</v>
      </c>
      <c r="M71" s="18" t="n">
        <v>0</v>
      </c>
      <c r="N71" s="20" t="n">
        <v>0</v>
      </c>
      <c r="O71" s="18" t="n">
        <v>0</v>
      </c>
      <c r="P71" s="20" t="n">
        <v>0</v>
      </c>
      <c r="Q71" s="18" t="n">
        <v>0</v>
      </c>
      <c r="R71" s="20" t="n">
        <v>0</v>
      </c>
    </row>
    <row r="72" spans="1:18">
      <c r="A72" s="15" t="s">
        <v>414</v>
      </c>
      <c r="B72" s="17" t="n">
        <v>3819</v>
      </c>
      <c r="C72" s="18">
        <f>(3345.0/B72*100)</f>
        <v/>
      </c>
      <c r="D72" s="19" t="n">
        <v>474</v>
      </c>
      <c r="E72" s="18" t="n">
        <v>21.28851738</v>
      </c>
      <c r="F72" s="20" t="n">
        <v>1.94444803</v>
      </c>
      <c r="G72" s="18" t="n">
        <v>78.32057132</v>
      </c>
      <c r="H72" s="20" t="n">
        <v>1.92763551</v>
      </c>
      <c r="I72" s="18" t="s">
        <v>349</v>
      </c>
      <c r="J72" s="20" t="s">
        <v>349</v>
      </c>
      <c r="K72" s="18" t="n">
        <v>0</v>
      </c>
      <c r="L72" s="20" t="n">
        <v>0</v>
      </c>
      <c r="M72" s="18" t="n">
        <v>0</v>
      </c>
      <c r="N72" s="20" t="n">
        <v>0</v>
      </c>
      <c r="O72" s="18" t="n">
        <v>0</v>
      </c>
      <c r="P72" s="20" t="n">
        <v>0</v>
      </c>
      <c r="Q72" s="18" t="n">
        <v>0.3909113</v>
      </c>
      <c r="R72" s="20" t="n">
        <v>0.23306604</v>
      </c>
    </row>
    <row r="73" spans="1:18">
      <c r="A73" s="15" t="s">
        <v>415</v>
      </c>
      <c r="B73" s="17" t="n">
        <v>4652</v>
      </c>
      <c r="C73" s="18">
        <f>(4103.0/B73*100)</f>
        <v/>
      </c>
      <c r="D73" s="19" t="n">
        <v>549</v>
      </c>
      <c r="E73" s="18" t="n">
        <v>38.50664012</v>
      </c>
      <c r="F73" s="20" t="n">
        <v>2.57000686</v>
      </c>
      <c r="G73" s="18" t="n">
        <v>58.99334041</v>
      </c>
      <c r="H73" s="20" t="n">
        <v>2.5548471</v>
      </c>
      <c r="I73" s="18" t="s">
        <v>349</v>
      </c>
      <c r="J73" s="20" t="s">
        <v>349</v>
      </c>
      <c r="K73" s="18" t="n">
        <v>0</v>
      </c>
      <c r="L73" s="20" t="n">
        <v>0</v>
      </c>
      <c r="M73" s="18" t="n">
        <v>0</v>
      </c>
      <c r="N73" s="20" t="n">
        <v>0</v>
      </c>
      <c r="O73" s="18" t="n">
        <v>0</v>
      </c>
      <c r="P73" s="20" t="n">
        <v>0</v>
      </c>
      <c r="Q73" s="18" t="n">
        <v>2.50001947</v>
      </c>
      <c r="R73" s="20" t="n">
        <v>0.64970714</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(2623.0/B75*100)</f>
        <v/>
      </c>
      <c r="D75" s="19" t="n">
        <v>346</v>
      </c>
      <c r="E75" s="18" t="n">
        <v>65.25184836</v>
      </c>
      <c r="F75" s="20" t="n">
        <v>2.85194884</v>
      </c>
      <c r="G75" s="18" t="n">
        <v>33.44031139</v>
      </c>
      <c r="H75" s="20" t="n">
        <v>2.70820258</v>
      </c>
      <c r="I75" s="18" t="s">
        <v>349</v>
      </c>
      <c r="J75" s="20" t="s">
        <v>349</v>
      </c>
      <c r="K75" s="18" t="n">
        <v>0.30040496</v>
      </c>
      <c r="L75" s="20" t="n">
        <v>0.21138136</v>
      </c>
      <c r="M75" s="18" t="n">
        <v>0</v>
      </c>
      <c r="N75" s="20" t="n">
        <v>0</v>
      </c>
      <c r="O75" s="18" t="n">
        <v>0</v>
      </c>
      <c r="P75" s="20" t="n">
        <v>0</v>
      </c>
      <c r="Q75" s="18" t="n">
        <v>1.00743529</v>
      </c>
      <c r="R75" s="20" t="n">
        <v>0.74482176</v>
      </c>
    </row>
    <row r="76" spans="1:18">
      <c r="A76" s="15" t="s">
        <v>418</v>
      </c>
      <c r="B76" s="17" t="n">
        <v>7115</v>
      </c>
      <c r="C76" s="18">
        <f>(6246.0/B76*100)</f>
        <v/>
      </c>
      <c r="D76" s="19" t="n">
        <v>869</v>
      </c>
      <c r="E76" s="18" t="n">
        <v>36.75286528</v>
      </c>
      <c r="F76" s="20" t="n">
        <v>2.00888216</v>
      </c>
      <c r="G76" s="18" t="n">
        <v>62.40730158</v>
      </c>
      <c r="H76" s="20" t="n">
        <v>2.03767672</v>
      </c>
      <c r="I76" s="18" t="s">
        <v>349</v>
      </c>
      <c r="J76" s="20" t="s">
        <v>349</v>
      </c>
      <c r="K76" s="18" t="n">
        <v>0.13084469</v>
      </c>
      <c r="L76" s="20" t="n">
        <v>0.13033251</v>
      </c>
      <c r="M76" s="18" t="n">
        <v>0</v>
      </c>
      <c r="N76" s="20" t="n">
        <v>0</v>
      </c>
      <c r="O76" s="18" t="n">
        <v>0</v>
      </c>
      <c r="P76" s="20" t="n">
        <v>0</v>
      </c>
      <c r="Q76" s="18" t="n">
        <v>0.70898846</v>
      </c>
      <c r="R76" s="20" t="n">
        <v>0.33396596</v>
      </c>
    </row>
    <row r="77" spans="1:18">
      <c r="A77" s="15" t="s">
        <v>419</v>
      </c>
      <c r="B77" s="17" t="n">
        <v>3154</v>
      </c>
      <c r="C77" s="18">
        <f>(2777.0/B77*100)</f>
        <v/>
      </c>
      <c r="D77" s="19" t="n">
        <v>377</v>
      </c>
      <c r="E77" s="18" t="n">
        <v>34.40359498</v>
      </c>
      <c r="F77" s="20" t="n">
        <v>2.76451828</v>
      </c>
      <c r="G77" s="18" t="n">
        <v>65.01765278000001</v>
      </c>
      <c r="H77" s="20" t="n">
        <v>2.75210398</v>
      </c>
      <c r="I77" s="18" t="s">
        <v>349</v>
      </c>
      <c r="J77" s="20" t="s">
        <v>349</v>
      </c>
      <c r="K77" s="18" t="n">
        <v>0.27831865</v>
      </c>
      <c r="L77" s="20" t="n">
        <v>0.28007555</v>
      </c>
      <c r="M77" s="18" t="n">
        <v>0</v>
      </c>
      <c r="N77" s="20" t="n">
        <v>0</v>
      </c>
      <c r="O77" s="18" t="n">
        <v>0</v>
      </c>
      <c r="P77" s="20" t="n">
        <v>0</v>
      </c>
      <c r="Q77" s="18" t="n">
        <v>0.30043359</v>
      </c>
      <c r="R77" s="20" t="n">
        <v>0.30890379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(4139.0/B81*100)</f>
        <v/>
      </c>
      <c r="D81" s="19" t="n">
        <v>559</v>
      </c>
      <c r="E81" s="18" t="n">
        <v>29.16708922</v>
      </c>
      <c r="F81" s="20" t="n">
        <v>2.40955125</v>
      </c>
      <c r="G81" s="18" t="n">
        <v>69.80679305</v>
      </c>
      <c r="H81" s="20" t="n">
        <v>2.44373898</v>
      </c>
      <c r="I81" s="18" t="s">
        <v>349</v>
      </c>
      <c r="J81" s="20" t="s">
        <v>349</v>
      </c>
      <c r="K81" s="18" t="n">
        <v>0</v>
      </c>
      <c r="L81" s="20" t="n">
        <v>0</v>
      </c>
      <c r="M81" s="18" t="n">
        <v>0</v>
      </c>
      <c r="N81" s="20" t="n">
        <v>0</v>
      </c>
      <c r="O81" s="18" t="n">
        <v>0</v>
      </c>
      <c r="P81" s="20" t="n">
        <v>0</v>
      </c>
      <c r="Q81" s="18" t="n">
        <v>1.02611773</v>
      </c>
      <c r="R81" s="20" t="n">
        <v>0.50248581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438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(6246.0/B7*100)</f>
        <v/>
      </c>
      <c r="D7" s="19" t="n">
        <v>917</v>
      </c>
      <c r="E7" s="18" t="n">
        <v>34.82888068</v>
      </c>
      <c r="F7" s="20" t="n">
        <v>1.87771667</v>
      </c>
      <c r="G7" s="18" t="n">
        <v>65.07495289000001</v>
      </c>
      <c r="H7" s="20" t="n">
        <v>1.87894662</v>
      </c>
      <c r="I7" s="18" t="s">
        <v>349</v>
      </c>
      <c r="J7" s="20" t="s">
        <v>349</v>
      </c>
      <c r="K7" s="18" t="n">
        <v>0.0797173</v>
      </c>
      <c r="L7" s="20" t="n">
        <v>0.0777579</v>
      </c>
      <c r="M7" s="18" t="n">
        <v>0</v>
      </c>
      <c r="N7" s="20" t="n">
        <v>0</v>
      </c>
      <c r="O7" s="18" t="n">
        <v>0</v>
      </c>
      <c r="P7" s="20" t="n">
        <v>0</v>
      </c>
      <c r="Q7" s="18" t="n">
        <v>0.01644913</v>
      </c>
      <c r="R7" s="20" t="n">
        <v>0.01614209</v>
      </c>
    </row>
    <row r="8" spans="1:18">
      <c r="A8" s="15" t="s">
        <v>350</v>
      </c>
      <c r="B8" s="17" t="n">
        <v>3443</v>
      </c>
      <c r="C8" s="18">
        <f>(3029.0/B8*100)</f>
        <v/>
      </c>
      <c r="D8" s="19" t="n">
        <v>414</v>
      </c>
      <c r="E8" s="18" t="n">
        <v>33.33840938</v>
      </c>
      <c r="F8" s="20" t="n">
        <v>2.86435617</v>
      </c>
      <c r="G8" s="18" t="n">
        <v>65.07916563000001</v>
      </c>
      <c r="H8" s="20" t="n">
        <v>3.01041909</v>
      </c>
      <c r="I8" s="18" t="s">
        <v>349</v>
      </c>
      <c r="J8" s="20" t="s">
        <v>349</v>
      </c>
      <c r="K8" s="18" t="n">
        <v>0</v>
      </c>
      <c r="L8" s="20" t="n">
        <v>0</v>
      </c>
      <c r="M8" s="18" t="n">
        <v>0</v>
      </c>
      <c r="N8" s="20" t="n">
        <v>0</v>
      </c>
      <c r="O8" s="18" t="n">
        <v>0</v>
      </c>
      <c r="P8" s="20" t="n">
        <v>0</v>
      </c>
      <c r="Q8" s="18" t="n">
        <v>1.58242499</v>
      </c>
      <c r="R8" s="20" t="n">
        <v>1.2565026</v>
      </c>
    </row>
    <row r="9" spans="1:18">
      <c r="A9" s="15" t="s">
        <v>351</v>
      </c>
      <c r="B9" s="17" t="n">
        <v>4752</v>
      </c>
      <c r="C9" s="18">
        <f>(4166.0/B9*100)</f>
        <v/>
      </c>
      <c r="D9" s="19" t="n">
        <v>586</v>
      </c>
      <c r="E9" s="18" t="n">
        <v>35.4558711</v>
      </c>
      <c r="F9" s="20" t="n">
        <v>2.09515028</v>
      </c>
      <c r="G9" s="18" t="n">
        <v>63.36857204</v>
      </c>
      <c r="H9" s="20" t="n">
        <v>2.15699696</v>
      </c>
      <c r="I9" s="18" t="s">
        <v>349</v>
      </c>
      <c r="J9" s="20" t="s">
        <v>349</v>
      </c>
      <c r="K9" s="18" t="n">
        <v>0.21820465</v>
      </c>
      <c r="L9" s="20" t="n">
        <v>0.2186442</v>
      </c>
      <c r="M9" s="18" t="n">
        <v>0</v>
      </c>
      <c r="N9" s="20" t="n">
        <v>0</v>
      </c>
      <c r="O9" s="18" t="n">
        <v>0</v>
      </c>
      <c r="P9" s="20" t="n">
        <v>0</v>
      </c>
      <c r="Q9" s="18" t="n">
        <v>0.95735221</v>
      </c>
      <c r="R9" s="20" t="n">
        <v>0.4386093</v>
      </c>
    </row>
    <row r="10" spans="1:18">
      <c r="A10" s="15" t="s">
        <v>352</v>
      </c>
      <c r="B10" s="17" t="n">
        <v>10022</v>
      </c>
      <c r="C10" s="18">
        <f>(8823.0/B10*100)</f>
        <v/>
      </c>
      <c r="D10" s="19" t="n">
        <v>1199</v>
      </c>
      <c r="E10" s="18" t="n">
        <v>32.59455021</v>
      </c>
      <c r="F10" s="20" t="n">
        <v>2.15131605</v>
      </c>
      <c r="G10" s="18" t="n">
        <v>67.12511168</v>
      </c>
      <c r="H10" s="20" t="n">
        <v>2.14435235</v>
      </c>
      <c r="I10" s="18" t="s">
        <v>349</v>
      </c>
      <c r="J10" s="20" t="s">
        <v>349</v>
      </c>
      <c r="K10" s="18" t="n">
        <v>0.04004232</v>
      </c>
      <c r="L10" s="20" t="n">
        <v>0.02767236</v>
      </c>
      <c r="M10" s="18" t="n">
        <v>0</v>
      </c>
      <c r="N10" s="20" t="n">
        <v>0</v>
      </c>
      <c r="O10" s="18" t="n">
        <v>0</v>
      </c>
      <c r="P10" s="20" t="n">
        <v>0</v>
      </c>
      <c r="Q10" s="18" t="n">
        <v>0.24029579</v>
      </c>
      <c r="R10" s="20" t="n">
        <v>0.21131666</v>
      </c>
    </row>
    <row r="11" spans="1:18">
      <c r="A11" s="15" t="s">
        <v>353</v>
      </c>
      <c r="B11" s="17" t="n">
        <v>3500</v>
      </c>
      <c r="C11" s="18">
        <f>(3078.0/B11*100)</f>
        <v/>
      </c>
      <c r="D11" s="19" t="n">
        <v>422</v>
      </c>
      <c r="E11" s="18" t="n">
        <v>60.65055551</v>
      </c>
      <c r="F11" s="20" t="n">
        <v>2.54444246</v>
      </c>
      <c r="G11" s="18" t="n">
        <v>37.96096486</v>
      </c>
      <c r="H11" s="20" t="n">
        <v>2.61996369</v>
      </c>
      <c r="I11" s="18" t="s">
        <v>349</v>
      </c>
      <c r="J11" s="20" t="s">
        <v>349</v>
      </c>
      <c r="K11" s="18" t="n">
        <v>0.15933286</v>
      </c>
      <c r="L11" s="20" t="n">
        <v>0.14603783</v>
      </c>
      <c r="M11" s="18" t="n">
        <v>0</v>
      </c>
      <c r="N11" s="20" t="n">
        <v>0</v>
      </c>
      <c r="O11" s="18" t="n">
        <v>0</v>
      </c>
      <c r="P11" s="20" t="n">
        <v>0</v>
      </c>
      <c r="Q11" s="18" t="n">
        <v>1.22914678</v>
      </c>
      <c r="R11" s="20" t="n">
        <v>0.5648311499999999</v>
      </c>
    </row>
    <row r="12" spans="1:18">
      <c r="A12" s="15" t="s">
        <v>354</v>
      </c>
      <c r="B12" s="17" t="n">
        <v>3422</v>
      </c>
      <c r="C12" s="18">
        <f>(3000.0/B12*100)</f>
        <v/>
      </c>
      <c r="D12" s="19" t="n">
        <v>422</v>
      </c>
      <c r="E12" s="18" t="n">
        <v>34.85597613</v>
      </c>
      <c r="F12" s="20" t="n">
        <v>2.75054518</v>
      </c>
      <c r="G12" s="18" t="n">
        <v>65.14402387</v>
      </c>
      <c r="H12" s="20" t="n">
        <v>2.75054518</v>
      </c>
      <c r="I12" s="18" t="s">
        <v>349</v>
      </c>
      <c r="J12" s="20" t="s">
        <v>349</v>
      </c>
      <c r="K12" s="18" t="n">
        <v>0</v>
      </c>
      <c r="L12" s="20" t="n">
        <v>0</v>
      </c>
      <c r="M12" s="18" t="n">
        <v>0</v>
      </c>
      <c r="N12" s="20" t="n">
        <v>0</v>
      </c>
      <c r="O12" s="18" t="n">
        <v>0</v>
      </c>
      <c r="P12" s="20" t="n">
        <v>0</v>
      </c>
      <c r="Q12" s="18" t="n">
        <v>0</v>
      </c>
      <c r="R12" s="20" t="n">
        <v>0</v>
      </c>
    </row>
    <row r="13" spans="1:18">
      <c r="A13" s="15" t="s">
        <v>355</v>
      </c>
      <c r="B13" s="17" t="n">
        <v>3602</v>
      </c>
      <c r="C13" s="18">
        <f>(3197.0/B13*100)</f>
        <v/>
      </c>
      <c r="D13" s="19" t="n">
        <v>405</v>
      </c>
      <c r="E13" s="18" t="n">
        <v>33.73368377</v>
      </c>
      <c r="F13" s="20" t="n">
        <v>2.7196153</v>
      </c>
      <c r="G13" s="18" t="n">
        <v>66.26631623</v>
      </c>
      <c r="H13" s="20" t="n">
        <v>2.7196153</v>
      </c>
      <c r="I13" s="18" t="s">
        <v>349</v>
      </c>
      <c r="J13" s="20" t="s">
        <v>349</v>
      </c>
      <c r="K13" s="18" t="n">
        <v>0</v>
      </c>
      <c r="L13" s="20" t="n">
        <v>0</v>
      </c>
      <c r="M13" s="18" t="n">
        <v>0</v>
      </c>
      <c r="N13" s="20" t="n">
        <v>0</v>
      </c>
      <c r="O13" s="18" t="n">
        <v>0</v>
      </c>
      <c r="P13" s="20" t="n">
        <v>0</v>
      </c>
      <c r="Q13" s="18" t="n">
        <v>0</v>
      </c>
      <c r="R13" s="20" t="n">
        <v>0</v>
      </c>
    </row>
    <row r="14" spans="1:18">
      <c r="A14" s="15" t="s">
        <v>356</v>
      </c>
      <c r="B14" s="17" t="n">
        <v>2788</v>
      </c>
      <c r="C14" s="18">
        <f>(2433.0/B14*100)</f>
        <v/>
      </c>
      <c r="D14" s="19" t="n">
        <v>355</v>
      </c>
      <c r="E14" s="18" t="n">
        <v>23.75121849</v>
      </c>
      <c r="F14" s="20" t="n">
        <v>2.15701104</v>
      </c>
      <c r="G14" s="18" t="n">
        <v>76.03334389</v>
      </c>
      <c r="H14" s="20" t="n">
        <v>2.1708328</v>
      </c>
      <c r="I14" s="18" t="s">
        <v>349</v>
      </c>
      <c r="J14" s="20" t="s">
        <v>349</v>
      </c>
      <c r="K14" s="18" t="n">
        <v>0</v>
      </c>
      <c r="L14" s="20" t="n">
        <v>0</v>
      </c>
      <c r="M14" s="18" t="n">
        <v>0</v>
      </c>
      <c r="N14" s="20" t="n">
        <v>0</v>
      </c>
      <c r="O14" s="18" t="n">
        <v>0</v>
      </c>
      <c r="P14" s="20" t="n">
        <v>0</v>
      </c>
      <c r="Q14" s="18" t="n">
        <v>0.21543762</v>
      </c>
      <c r="R14" s="20" t="n">
        <v>0.22005173</v>
      </c>
    </row>
    <row r="15" spans="1:18">
      <c r="A15" s="15" t="s">
        <v>357</v>
      </c>
      <c r="B15" s="17" t="n">
        <v>2863</v>
      </c>
      <c r="C15" s="18">
        <f>(2495.0/B15*100)</f>
        <v/>
      </c>
      <c r="D15" s="19" t="n">
        <v>368</v>
      </c>
      <c r="E15" s="18" t="n">
        <v>18.36263113</v>
      </c>
      <c r="F15" s="20" t="n">
        <v>2.03108521</v>
      </c>
      <c r="G15" s="18" t="n">
        <v>81.63736887</v>
      </c>
      <c r="H15" s="20" t="n">
        <v>2.03108521</v>
      </c>
      <c r="I15" s="18" t="s">
        <v>349</v>
      </c>
      <c r="J15" s="20" t="s">
        <v>349</v>
      </c>
      <c r="K15" s="18" t="n">
        <v>0</v>
      </c>
      <c r="L15" s="20" t="n">
        <v>0</v>
      </c>
      <c r="M15" s="18" t="n">
        <v>0</v>
      </c>
      <c r="N15" s="20" t="n">
        <v>0</v>
      </c>
      <c r="O15" s="18" t="n">
        <v>0</v>
      </c>
      <c r="P15" s="20" t="n">
        <v>0</v>
      </c>
      <c r="Q15" s="18" t="n">
        <v>0</v>
      </c>
      <c r="R15" s="20" t="n">
        <v>0</v>
      </c>
    </row>
    <row r="16" spans="1:18">
      <c r="A16" s="15" t="s">
        <v>358</v>
      </c>
      <c r="B16" s="17" t="n">
        <v>3111</v>
      </c>
      <c r="C16" s="18">
        <f>(2729.0/B16*100)</f>
        <v/>
      </c>
      <c r="D16" s="19" t="n">
        <v>382</v>
      </c>
      <c r="E16" s="18" t="n">
        <v>36.54726372</v>
      </c>
      <c r="F16" s="20" t="n">
        <v>2.13186878</v>
      </c>
      <c r="G16" s="18" t="n">
        <v>62.70744099</v>
      </c>
      <c r="H16" s="20" t="n">
        <v>2.04376892</v>
      </c>
      <c r="I16" s="18" t="s">
        <v>349</v>
      </c>
      <c r="J16" s="20" t="s">
        <v>349</v>
      </c>
      <c r="K16" s="18" t="n">
        <v>0</v>
      </c>
      <c r="L16" s="20" t="n">
        <v>0</v>
      </c>
      <c r="M16" s="18" t="n">
        <v>0</v>
      </c>
      <c r="N16" s="20" t="n">
        <v>0</v>
      </c>
      <c r="O16" s="18" t="n">
        <v>0</v>
      </c>
      <c r="P16" s="20" t="n">
        <v>0</v>
      </c>
      <c r="Q16" s="18" t="n">
        <v>0.74529528</v>
      </c>
      <c r="R16" s="20" t="n">
        <v>0.46835922</v>
      </c>
    </row>
    <row r="17" spans="1:18">
      <c r="A17" s="15" t="s">
        <v>359</v>
      </c>
      <c r="B17" s="17" t="n">
        <v>3197</v>
      </c>
      <c r="C17" s="18">
        <f>(2812.0/B17*100)</f>
        <v/>
      </c>
      <c r="D17" s="19" t="n">
        <v>385</v>
      </c>
      <c r="E17" s="18" t="n">
        <v>29.14554239</v>
      </c>
      <c r="F17" s="20" t="n">
        <v>2.3303864</v>
      </c>
      <c r="G17" s="18" t="n">
        <v>69.82237773</v>
      </c>
      <c r="H17" s="20" t="n">
        <v>2.3435158</v>
      </c>
      <c r="I17" s="18" t="s">
        <v>349</v>
      </c>
      <c r="J17" s="20" t="s">
        <v>349</v>
      </c>
      <c r="K17" s="18" t="n">
        <v>0.29688126</v>
      </c>
      <c r="L17" s="20" t="n">
        <v>0.3008425</v>
      </c>
      <c r="M17" s="18" t="n">
        <v>0</v>
      </c>
      <c r="N17" s="20" t="n">
        <v>0</v>
      </c>
      <c r="O17" s="18" t="n">
        <v>0</v>
      </c>
      <c r="P17" s="20" t="n">
        <v>0</v>
      </c>
      <c r="Q17" s="18" t="n">
        <v>0.73519862</v>
      </c>
      <c r="R17" s="20" t="n">
        <v>0.43382368</v>
      </c>
    </row>
    <row r="18" spans="1:18">
      <c r="A18" s="15" t="s">
        <v>360</v>
      </c>
      <c r="B18" s="17" t="n">
        <v>2706</v>
      </c>
      <c r="C18" s="18">
        <f>(2388.0/B18*100)</f>
        <v/>
      </c>
      <c r="D18" s="19" t="n">
        <v>318</v>
      </c>
      <c r="E18" s="18" t="n">
        <v>45.17384417</v>
      </c>
      <c r="F18" s="20" t="n">
        <v>3.0138655</v>
      </c>
      <c r="G18" s="18" t="n">
        <v>54.33845357</v>
      </c>
      <c r="H18" s="20" t="n">
        <v>3.10452055</v>
      </c>
      <c r="I18" s="18" t="s">
        <v>349</v>
      </c>
      <c r="J18" s="20" t="s">
        <v>349</v>
      </c>
      <c r="K18" s="18" t="n">
        <v>0.25895688</v>
      </c>
      <c r="L18" s="20" t="n">
        <v>0.25450298</v>
      </c>
      <c r="M18" s="18" t="n">
        <v>0</v>
      </c>
      <c r="N18" s="20" t="n">
        <v>0</v>
      </c>
      <c r="O18" s="18" t="n">
        <v>0</v>
      </c>
      <c r="P18" s="20" t="n">
        <v>0</v>
      </c>
      <c r="Q18" s="18" t="n">
        <v>0.22874538</v>
      </c>
      <c r="R18" s="20" t="n">
        <v>0.22833103</v>
      </c>
    </row>
    <row r="19" spans="1:18">
      <c r="A19" s="15" t="s">
        <v>361</v>
      </c>
      <c r="B19" s="17" t="n">
        <v>2850</v>
      </c>
      <c r="C19" s="18">
        <f>(2488.0/B19*100)</f>
        <v/>
      </c>
      <c r="D19" s="19" t="n">
        <v>362</v>
      </c>
      <c r="E19" s="18" t="n">
        <v>34.07698214</v>
      </c>
      <c r="F19" s="20" t="n">
        <v>2.68202813</v>
      </c>
      <c r="G19" s="18" t="n">
        <v>65.92301786</v>
      </c>
      <c r="H19" s="20" t="n">
        <v>2.68202813</v>
      </c>
      <c r="I19" s="18" t="s">
        <v>349</v>
      </c>
      <c r="J19" s="20" t="s">
        <v>349</v>
      </c>
      <c r="K19" s="18" t="n">
        <v>0</v>
      </c>
      <c r="L19" s="20" t="n">
        <v>0</v>
      </c>
      <c r="M19" s="18" t="n">
        <v>0</v>
      </c>
      <c r="N19" s="20" t="n">
        <v>0</v>
      </c>
      <c r="O19" s="18" t="n">
        <v>0</v>
      </c>
      <c r="P19" s="20" t="n">
        <v>0</v>
      </c>
      <c r="Q19" s="18" t="n">
        <v>0</v>
      </c>
      <c r="R19" s="20" t="n">
        <v>0</v>
      </c>
    </row>
    <row r="20" spans="1:18">
      <c r="A20" s="15" t="s">
        <v>362</v>
      </c>
      <c r="B20" s="17" t="n">
        <v>1741</v>
      </c>
      <c r="C20" s="18">
        <f>(1514.0/B20*100)</f>
        <v/>
      </c>
      <c r="D20" s="19" t="n">
        <v>227</v>
      </c>
      <c r="E20" s="18" t="n">
        <v>30.75964516</v>
      </c>
      <c r="F20" s="20" t="n">
        <v>3.4248224</v>
      </c>
      <c r="G20" s="18" t="n">
        <v>68.44784183</v>
      </c>
      <c r="H20" s="20" t="n">
        <v>3.41914744</v>
      </c>
      <c r="I20" s="18" t="s">
        <v>349</v>
      </c>
      <c r="J20" s="20" t="s">
        <v>349</v>
      </c>
      <c r="K20" s="18" t="n">
        <v>0</v>
      </c>
      <c r="L20" s="20" t="n">
        <v>0</v>
      </c>
      <c r="M20" s="18" t="n">
        <v>0</v>
      </c>
      <c r="N20" s="20" t="n">
        <v>0</v>
      </c>
      <c r="O20" s="18" t="n">
        <v>0</v>
      </c>
      <c r="P20" s="20" t="n">
        <v>0</v>
      </c>
      <c r="Q20" s="18" t="n">
        <v>0.79251301</v>
      </c>
      <c r="R20" s="20" t="n">
        <v>0.57196787</v>
      </c>
    </row>
    <row r="21" spans="1:18">
      <c r="A21" s="15" t="s">
        <v>363</v>
      </c>
      <c r="B21" s="17" t="n">
        <v>2833</v>
      </c>
      <c r="C21" s="18">
        <f>(2373.0/B21*100)</f>
        <v/>
      </c>
      <c r="D21" s="19" t="n">
        <v>460</v>
      </c>
      <c r="E21" s="18" t="n">
        <v>45.66120561</v>
      </c>
      <c r="F21" s="20" t="n">
        <v>2.48069581</v>
      </c>
      <c r="G21" s="18" t="n">
        <v>54.16749383</v>
      </c>
      <c r="H21" s="20" t="n">
        <v>2.49472574</v>
      </c>
      <c r="I21" s="18" t="s">
        <v>349</v>
      </c>
      <c r="J21" s="20" t="s">
        <v>349</v>
      </c>
      <c r="K21" s="18" t="n">
        <v>0</v>
      </c>
      <c r="L21" s="20" t="n">
        <v>0</v>
      </c>
      <c r="M21" s="18" t="n">
        <v>0</v>
      </c>
      <c r="N21" s="20" t="n">
        <v>0</v>
      </c>
      <c r="O21" s="18" t="n">
        <v>0</v>
      </c>
      <c r="P21" s="20" t="n">
        <v>0</v>
      </c>
      <c r="Q21" s="18" t="n">
        <v>0.17130055</v>
      </c>
      <c r="R21" s="20" t="n">
        <v>0.16946254</v>
      </c>
    </row>
    <row r="22" spans="1:18">
      <c r="A22" s="15" t="s">
        <v>364</v>
      </c>
      <c r="B22" s="17" t="n">
        <v>3667</v>
      </c>
      <c r="C22" s="18">
        <f>(3196.0/B22*100)</f>
        <v/>
      </c>
      <c r="D22" s="19" t="n">
        <v>471</v>
      </c>
      <c r="E22" s="18" t="n">
        <v>52.36253702</v>
      </c>
      <c r="F22" s="20" t="n">
        <v>2.54862546</v>
      </c>
      <c r="G22" s="18" t="n">
        <v>44.92468779</v>
      </c>
      <c r="H22" s="20" t="n">
        <v>2.56145755</v>
      </c>
      <c r="I22" s="18" t="s">
        <v>349</v>
      </c>
      <c r="J22" s="20" t="s">
        <v>349</v>
      </c>
      <c r="K22" s="18" t="n">
        <v>0</v>
      </c>
      <c r="L22" s="20" t="n">
        <v>0</v>
      </c>
      <c r="M22" s="18" t="n">
        <v>0</v>
      </c>
      <c r="N22" s="20" t="n">
        <v>0</v>
      </c>
      <c r="O22" s="18" t="n">
        <v>0</v>
      </c>
      <c r="P22" s="20" t="n">
        <v>0</v>
      </c>
      <c r="Q22" s="18" t="n">
        <v>2.71277519</v>
      </c>
      <c r="R22" s="20" t="n">
        <v>0.71399326</v>
      </c>
    </row>
    <row r="23" spans="1:18">
      <c r="A23" s="15" t="s">
        <v>365</v>
      </c>
      <c r="B23" s="17" t="n">
        <v>5792</v>
      </c>
      <c r="C23" s="18">
        <f>(5050.0/B23*100)</f>
        <v/>
      </c>
      <c r="D23" s="19" t="n">
        <v>742</v>
      </c>
      <c r="E23" s="18" t="n">
        <v>33.66585694</v>
      </c>
      <c r="F23" s="20" t="n">
        <v>2.32703961</v>
      </c>
      <c r="G23" s="18" t="n">
        <v>65.03352958000001</v>
      </c>
      <c r="H23" s="20" t="n">
        <v>2.31259013</v>
      </c>
      <c r="I23" s="18" t="s">
        <v>349</v>
      </c>
      <c r="J23" s="20" t="s">
        <v>349</v>
      </c>
      <c r="K23" s="18" t="n">
        <v>0.28094184</v>
      </c>
      <c r="L23" s="20" t="n">
        <v>0.2173647</v>
      </c>
      <c r="M23" s="18" t="n">
        <v>0</v>
      </c>
      <c r="N23" s="20" t="n">
        <v>0</v>
      </c>
      <c r="O23" s="18" t="n">
        <v>0</v>
      </c>
      <c r="P23" s="20" t="n">
        <v>0</v>
      </c>
      <c r="Q23" s="18" t="n">
        <v>1.01967165</v>
      </c>
      <c r="R23" s="20" t="n">
        <v>0.45292522</v>
      </c>
    </row>
    <row r="24" spans="1:18">
      <c r="A24" s="15" t="s">
        <v>366</v>
      </c>
      <c r="B24" s="17" t="n">
        <v>3309</v>
      </c>
      <c r="C24" s="18">
        <f>(2879.0/B24*100)</f>
        <v/>
      </c>
      <c r="D24" s="19" t="n">
        <v>430</v>
      </c>
      <c r="E24" s="18" t="n">
        <v>13.68821807</v>
      </c>
      <c r="F24" s="20" t="n">
        <v>1.6525865</v>
      </c>
      <c r="G24" s="18" t="n">
        <v>86.10010446</v>
      </c>
      <c r="H24" s="20" t="n">
        <v>1.68177556</v>
      </c>
      <c r="I24" s="18" t="s">
        <v>349</v>
      </c>
      <c r="J24" s="20" t="s">
        <v>349</v>
      </c>
      <c r="K24" s="18" t="n">
        <v>0.21167747</v>
      </c>
      <c r="L24" s="20" t="n">
        <v>0.21105498</v>
      </c>
      <c r="M24" s="18" t="n">
        <v>0</v>
      </c>
      <c r="N24" s="20" t="n">
        <v>0</v>
      </c>
      <c r="O24" s="18" t="n">
        <v>0</v>
      </c>
      <c r="P24" s="20" t="n">
        <v>0</v>
      </c>
      <c r="Q24" s="18" t="n">
        <v>0</v>
      </c>
      <c r="R24" s="20" t="n">
        <v>0</v>
      </c>
    </row>
    <row r="25" spans="1:18">
      <c r="A25" s="15" t="s">
        <v>367</v>
      </c>
      <c r="B25" s="17" t="n">
        <v>2669</v>
      </c>
      <c r="C25" s="18">
        <f>(2340.0/B25*100)</f>
        <v/>
      </c>
      <c r="D25" s="19" t="n">
        <v>329</v>
      </c>
      <c r="E25" s="18" t="n">
        <v>19.33782581</v>
      </c>
      <c r="F25" s="20" t="n">
        <v>2.16733781</v>
      </c>
      <c r="G25" s="18" t="n">
        <v>80.66217419</v>
      </c>
      <c r="H25" s="20" t="n">
        <v>2.16733781</v>
      </c>
      <c r="I25" s="18" t="s">
        <v>349</v>
      </c>
      <c r="J25" s="20" t="s">
        <v>349</v>
      </c>
      <c r="K25" s="18" t="n">
        <v>0</v>
      </c>
      <c r="L25" s="20" t="n">
        <v>0</v>
      </c>
      <c r="M25" s="18" t="n">
        <v>0</v>
      </c>
      <c r="N25" s="20" t="n">
        <v>0</v>
      </c>
      <c r="O25" s="18" t="n">
        <v>0</v>
      </c>
      <c r="P25" s="20" t="n">
        <v>0</v>
      </c>
      <c r="Q25" s="18" t="n">
        <v>0</v>
      </c>
      <c r="R25" s="20" t="n">
        <v>0</v>
      </c>
    </row>
    <row r="26" spans="1:18">
      <c r="A26" s="15" t="s">
        <v>368</v>
      </c>
      <c r="B26" s="17" t="n">
        <v>2419</v>
      </c>
      <c r="C26" s="18">
        <f>(2121.0/B26*100)</f>
        <v/>
      </c>
      <c r="D26" s="19" t="n">
        <v>298</v>
      </c>
      <c r="E26" s="18" t="n">
        <v>28.45072536</v>
      </c>
      <c r="F26" s="20" t="n">
        <v>2.93726918</v>
      </c>
      <c r="G26" s="18" t="n">
        <v>71.54927463999999</v>
      </c>
      <c r="H26" s="20" t="n">
        <v>2.93726918</v>
      </c>
      <c r="I26" s="18" t="s">
        <v>349</v>
      </c>
      <c r="J26" s="20" t="s">
        <v>349</v>
      </c>
      <c r="K26" s="18" t="n">
        <v>0</v>
      </c>
      <c r="L26" s="20" t="n">
        <v>0</v>
      </c>
      <c r="M26" s="18" t="n">
        <v>0</v>
      </c>
      <c r="N26" s="20" t="n">
        <v>0</v>
      </c>
      <c r="O26" s="18" t="n">
        <v>0</v>
      </c>
      <c r="P26" s="20" t="n">
        <v>0</v>
      </c>
      <c r="Q26" s="18" t="n">
        <v>0</v>
      </c>
      <c r="R26" s="20" t="n">
        <v>0</v>
      </c>
    </row>
    <row r="27" spans="1:18">
      <c r="A27" s="15" t="s">
        <v>369</v>
      </c>
      <c r="B27" s="17" t="n">
        <v>2683</v>
      </c>
      <c r="C27" s="18">
        <f>(2363.0/B27*100)</f>
        <v/>
      </c>
      <c r="D27" s="19" t="n">
        <v>320</v>
      </c>
      <c r="E27" s="18" t="n">
        <v>37.09685314</v>
      </c>
      <c r="F27" s="20" t="n">
        <v>2.51274801</v>
      </c>
      <c r="G27" s="18" t="n">
        <v>62.58465745</v>
      </c>
      <c r="H27" s="20" t="n">
        <v>2.53889055</v>
      </c>
      <c r="I27" s="18" t="s">
        <v>349</v>
      </c>
      <c r="J27" s="20" t="s">
        <v>349</v>
      </c>
      <c r="K27" s="18" t="n">
        <v>0</v>
      </c>
      <c r="L27" s="20" t="n">
        <v>0</v>
      </c>
      <c r="M27" s="18" t="n">
        <v>0</v>
      </c>
      <c r="N27" s="20" t="n">
        <v>0</v>
      </c>
      <c r="O27" s="18" t="n">
        <v>0</v>
      </c>
      <c r="P27" s="20" t="n">
        <v>0</v>
      </c>
      <c r="Q27" s="18" t="n">
        <v>0.31848941</v>
      </c>
      <c r="R27" s="20" t="n">
        <v>0.31878308</v>
      </c>
    </row>
    <row r="28" spans="1:18">
      <c r="A28" s="15" t="s">
        <v>370</v>
      </c>
      <c r="B28" s="17" t="n">
        <v>3803</v>
      </c>
      <c r="C28" s="18">
        <f>(3341.0/B28*100)</f>
        <v/>
      </c>
      <c r="D28" s="19" t="n">
        <v>462</v>
      </c>
      <c r="E28" s="18" t="n">
        <v>64.65235787</v>
      </c>
      <c r="F28" s="20" t="n">
        <v>2.23642093</v>
      </c>
      <c r="G28" s="18" t="n">
        <v>33.54553117</v>
      </c>
      <c r="H28" s="20" t="n">
        <v>2.28172302</v>
      </c>
      <c r="I28" s="18" t="s">
        <v>349</v>
      </c>
      <c r="J28" s="20" t="s">
        <v>349</v>
      </c>
      <c r="K28" s="18" t="n">
        <v>0</v>
      </c>
      <c r="L28" s="20" t="n">
        <v>0</v>
      </c>
      <c r="M28" s="18" t="n">
        <v>0</v>
      </c>
      <c r="N28" s="20" t="n">
        <v>0</v>
      </c>
      <c r="O28" s="18" t="n">
        <v>0</v>
      </c>
      <c r="P28" s="20" t="n">
        <v>0</v>
      </c>
      <c r="Q28" s="18" t="n">
        <v>1.80211095</v>
      </c>
      <c r="R28" s="20" t="n">
        <v>0.74663089</v>
      </c>
    </row>
    <row r="29" spans="1:18">
      <c r="A29" s="15" t="s">
        <v>371</v>
      </c>
      <c r="B29" s="17" t="n">
        <v>2700</v>
      </c>
      <c r="C29" s="18">
        <f>(2388.0/B29*100)</f>
        <v/>
      </c>
      <c r="D29" s="19" t="n">
        <v>312</v>
      </c>
      <c r="E29" s="18" t="n">
        <v>30.55563181</v>
      </c>
      <c r="F29" s="20" t="n">
        <v>2.73612994</v>
      </c>
      <c r="G29" s="18" t="n">
        <v>69.18670607999999</v>
      </c>
      <c r="H29" s="20" t="n">
        <v>2.76115534</v>
      </c>
      <c r="I29" s="18" t="s">
        <v>349</v>
      </c>
      <c r="J29" s="20" t="s">
        <v>349</v>
      </c>
      <c r="K29" s="18" t="n">
        <v>0</v>
      </c>
      <c r="L29" s="20" t="n">
        <v>0</v>
      </c>
      <c r="M29" s="18" t="n">
        <v>0</v>
      </c>
      <c r="N29" s="20" t="n">
        <v>0</v>
      </c>
      <c r="O29" s="18" t="n">
        <v>0</v>
      </c>
      <c r="P29" s="20" t="n">
        <v>0</v>
      </c>
      <c r="Q29" s="18" t="n">
        <v>0.25766211</v>
      </c>
      <c r="R29" s="20" t="n">
        <v>0.25002161</v>
      </c>
    </row>
    <row r="30" spans="1:18">
      <c r="A30" s="15" t="s">
        <v>372</v>
      </c>
      <c r="B30" s="17" t="n">
        <v>2257</v>
      </c>
      <c r="C30" s="18">
        <f>(1964.0/B30*100)</f>
        <v/>
      </c>
      <c r="D30" s="19" t="n">
        <v>293</v>
      </c>
      <c r="E30" s="18" t="n">
        <v>34.58486542</v>
      </c>
      <c r="F30" s="20" t="n">
        <v>2.58566031</v>
      </c>
      <c r="G30" s="18" t="n">
        <v>65.10031379</v>
      </c>
      <c r="H30" s="20" t="n">
        <v>2.54636408</v>
      </c>
      <c r="I30" s="18" t="s">
        <v>349</v>
      </c>
      <c r="J30" s="20" t="s">
        <v>349</v>
      </c>
      <c r="K30" s="18" t="n">
        <v>0</v>
      </c>
      <c r="L30" s="20" t="n">
        <v>0</v>
      </c>
      <c r="M30" s="18" t="n">
        <v>0</v>
      </c>
      <c r="N30" s="20" t="n">
        <v>0</v>
      </c>
      <c r="O30" s="18" t="n">
        <v>0</v>
      </c>
      <c r="P30" s="20" t="n">
        <v>0</v>
      </c>
      <c r="Q30" s="18" t="n">
        <v>0.31482079</v>
      </c>
      <c r="R30" s="20" t="n">
        <v>0.31463369</v>
      </c>
    </row>
    <row r="31" spans="1:18">
      <c r="A31" s="15" t="s">
        <v>373</v>
      </c>
      <c r="B31" s="17" t="n">
        <v>2706</v>
      </c>
      <c r="C31" s="18">
        <f>(2369.0/B31*100)</f>
        <v/>
      </c>
      <c r="D31" s="19" t="n">
        <v>337</v>
      </c>
      <c r="E31" s="18" t="n">
        <v>31.48772686</v>
      </c>
      <c r="F31" s="20" t="n">
        <v>1.97639893</v>
      </c>
      <c r="G31" s="18" t="n">
        <v>68.51227314</v>
      </c>
      <c r="H31" s="20" t="n">
        <v>1.97639893</v>
      </c>
      <c r="I31" s="18" t="s">
        <v>349</v>
      </c>
      <c r="J31" s="20" t="s">
        <v>349</v>
      </c>
      <c r="K31" s="18" t="n">
        <v>0</v>
      </c>
      <c r="L31" s="20" t="n">
        <v>0</v>
      </c>
      <c r="M31" s="18" t="n">
        <v>0</v>
      </c>
      <c r="N31" s="20" t="n">
        <v>0</v>
      </c>
      <c r="O31" s="18" t="n">
        <v>0</v>
      </c>
      <c r="P31" s="20" t="n">
        <v>0</v>
      </c>
      <c r="Q31" s="18" t="n">
        <v>0</v>
      </c>
      <c r="R31" s="20" t="n">
        <v>0</v>
      </c>
    </row>
    <row r="32" spans="1:18">
      <c r="A32" s="15" t="s">
        <v>374</v>
      </c>
      <c r="B32" s="17" t="n">
        <v>2209</v>
      </c>
      <c r="C32" s="18">
        <f>(1855.0/B32*100)</f>
        <v/>
      </c>
      <c r="D32" s="19" t="n">
        <v>354</v>
      </c>
      <c r="E32" s="18" t="n">
        <v>28.54056623</v>
      </c>
      <c r="F32" s="20" t="n">
        <v>2.70168844</v>
      </c>
      <c r="G32" s="18" t="n">
        <v>71.18724463</v>
      </c>
      <c r="H32" s="20" t="n">
        <v>2.73118011</v>
      </c>
      <c r="I32" s="18" t="s">
        <v>349</v>
      </c>
      <c r="J32" s="20" t="s">
        <v>349</v>
      </c>
      <c r="K32" s="18" t="n">
        <v>0</v>
      </c>
      <c r="L32" s="20" t="n">
        <v>0</v>
      </c>
      <c r="M32" s="18" t="n">
        <v>0</v>
      </c>
      <c r="N32" s="20" t="n">
        <v>0</v>
      </c>
      <c r="O32" s="18" t="n">
        <v>0</v>
      </c>
      <c r="P32" s="20" t="n">
        <v>0</v>
      </c>
      <c r="Q32" s="18" t="n">
        <v>0.27218914</v>
      </c>
      <c r="R32" s="20" t="n">
        <v>0.27094169</v>
      </c>
    </row>
    <row r="33" spans="1:18">
      <c r="A33" s="15" t="s">
        <v>375</v>
      </c>
      <c r="B33" s="17" t="n">
        <v>3651</v>
      </c>
      <c r="C33" s="18">
        <f>(3205.0/B33*100)</f>
        <v/>
      </c>
      <c r="D33" s="19" t="n">
        <v>446</v>
      </c>
      <c r="E33" s="18" t="n">
        <v>32.5965892</v>
      </c>
      <c r="F33" s="20" t="n">
        <v>2.9337974</v>
      </c>
      <c r="G33" s="18" t="n">
        <v>65.9150001</v>
      </c>
      <c r="H33" s="20" t="n">
        <v>2.9103584</v>
      </c>
      <c r="I33" s="18" t="s">
        <v>349</v>
      </c>
      <c r="J33" s="20" t="s">
        <v>349</v>
      </c>
      <c r="K33" s="18" t="n">
        <v>0</v>
      </c>
      <c r="L33" s="20" t="n">
        <v>0</v>
      </c>
      <c r="M33" s="18" t="n">
        <v>0</v>
      </c>
      <c r="N33" s="20" t="n">
        <v>0</v>
      </c>
      <c r="O33" s="18" t="n">
        <v>0</v>
      </c>
      <c r="P33" s="20" t="n">
        <v>0</v>
      </c>
      <c r="Q33" s="18" t="n">
        <v>1.4884107</v>
      </c>
      <c r="R33" s="20" t="n">
        <v>0.63852266</v>
      </c>
    </row>
    <row r="34" spans="1:18">
      <c r="A34" s="15" t="s">
        <v>376</v>
      </c>
      <c r="B34" s="17" t="n">
        <v>3035</v>
      </c>
      <c r="C34" s="18">
        <f>(2672.0/B34*100)</f>
        <v/>
      </c>
      <c r="D34" s="19" t="n">
        <v>363</v>
      </c>
      <c r="E34" s="18" t="n">
        <v>27.93879847</v>
      </c>
      <c r="F34" s="20" t="n">
        <v>2.39919964</v>
      </c>
      <c r="G34" s="18" t="n">
        <v>72.06120153000001</v>
      </c>
      <c r="H34" s="20" t="n">
        <v>2.39919964</v>
      </c>
      <c r="I34" s="18" t="s">
        <v>349</v>
      </c>
      <c r="J34" s="20" t="s">
        <v>349</v>
      </c>
      <c r="K34" s="18" t="n">
        <v>0</v>
      </c>
      <c r="L34" s="20" t="n">
        <v>0</v>
      </c>
      <c r="M34" s="18" t="n">
        <v>0</v>
      </c>
      <c r="N34" s="20" t="n">
        <v>0</v>
      </c>
      <c r="O34" s="18" t="n">
        <v>0</v>
      </c>
      <c r="P34" s="20" t="n">
        <v>0</v>
      </c>
      <c r="Q34" s="18" t="n">
        <v>0</v>
      </c>
      <c r="R34" s="20" t="n">
        <v>0</v>
      </c>
    </row>
    <row r="35" spans="1:18">
      <c r="A35" s="15" t="s">
        <v>377</v>
      </c>
      <c r="B35" s="17" t="n">
        <v>2901</v>
      </c>
      <c r="C35" s="18">
        <f>(2545.0/B35*100)</f>
        <v/>
      </c>
      <c r="D35" s="19" t="n">
        <v>356</v>
      </c>
      <c r="E35" s="18" t="n">
        <v>28.8715108</v>
      </c>
      <c r="F35" s="20" t="n">
        <v>3.13875023</v>
      </c>
      <c r="G35" s="18" t="n">
        <v>71.1284892</v>
      </c>
      <c r="H35" s="20" t="n">
        <v>3.13875023</v>
      </c>
      <c r="I35" s="18" t="s">
        <v>349</v>
      </c>
      <c r="J35" s="20" t="s">
        <v>349</v>
      </c>
      <c r="K35" s="18" t="n">
        <v>0</v>
      </c>
      <c r="L35" s="20" t="n">
        <v>0</v>
      </c>
      <c r="M35" s="18" t="n">
        <v>0</v>
      </c>
      <c r="N35" s="20" t="n">
        <v>0</v>
      </c>
      <c r="O35" s="18" t="n">
        <v>0</v>
      </c>
      <c r="P35" s="20" t="n">
        <v>0</v>
      </c>
      <c r="Q35" s="18" t="n">
        <v>0</v>
      </c>
      <c r="R35" s="20" t="n">
        <v>0</v>
      </c>
    </row>
    <row r="36" spans="1:18">
      <c r="A36" s="15" t="s">
        <v>378</v>
      </c>
      <c r="B36" s="17" t="n">
        <v>3404</v>
      </c>
      <c r="C36" s="18">
        <f>(2999.0/B36*100)</f>
        <v/>
      </c>
      <c r="D36" s="19" t="n">
        <v>405</v>
      </c>
      <c r="E36" s="18" t="n">
        <v>36.80001183</v>
      </c>
      <c r="F36" s="20" t="n">
        <v>2.42347971</v>
      </c>
      <c r="G36" s="18" t="n">
        <v>62.5584212</v>
      </c>
      <c r="H36" s="20" t="n">
        <v>2.43683806</v>
      </c>
      <c r="I36" s="18" t="s">
        <v>349</v>
      </c>
      <c r="J36" s="20" t="s">
        <v>349</v>
      </c>
      <c r="K36" s="18" t="n">
        <v>0.37515394</v>
      </c>
      <c r="L36" s="20" t="n">
        <v>0.38415819</v>
      </c>
      <c r="M36" s="18" t="n">
        <v>0</v>
      </c>
      <c r="N36" s="20" t="n">
        <v>0</v>
      </c>
      <c r="O36" s="18" t="n">
        <v>0</v>
      </c>
      <c r="P36" s="20" t="n">
        <v>0</v>
      </c>
      <c r="Q36" s="18" t="n">
        <v>0.26641303</v>
      </c>
      <c r="R36" s="20" t="n">
        <v>0.26913258</v>
      </c>
    </row>
    <row r="37" spans="1:18">
      <c r="A37" s="15" t="s">
        <v>379</v>
      </c>
      <c r="B37" s="17" t="n">
        <v>2731</v>
      </c>
      <c r="C37" s="18">
        <f>(2409.0/B37*100)</f>
        <v/>
      </c>
      <c r="D37" s="19" t="n">
        <v>322</v>
      </c>
      <c r="E37" s="18" t="n">
        <v>26.66553094</v>
      </c>
      <c r="F37" s="20" t="n">
        <v>2.72519679</v>
      </c>
      <c r="G37" s="18" t="n">
        <v>72.42116536</v>
      </c>
      <c r="H37" s="20" t="n">
        <v>2.74080646</v>
      </c>
      <c r="I37" s="18" t="s">
        <v>349</v>
      </c>
      <c r="J37" s="20" t="s">
        <v>349</v>
      </c>
      <c r="K37" s="18" t="n">
        <v>0.34561805</v>
      </c>
      <c r="L37" s="20" t="n">
        <v>0.33911764</v>
      </c>
      <c r="M37" s="18" t="n">
        <v>0</v>
      </c>
      <c r="N37" s="20" t="n">
        <v>0</v>
      </c>
      <c r="O37" s="18" t="n">
        <v>0</v>
      </c>
      <c r="P37" s="20" t="n">
        <v>0</v>
      </c>
      <c r="Q37" s="18" t="n">
        <v>0.56768565</v>
      </c>
      <c r="R37" s="20" t="n">
        <v>0.40579137</v>
      </c>
    </row>
    <row r="38" spans="1:18">
      <c r="A38" s="15" t="s">
        <v>380</v>
      </c>
      <c r="B38" s="17" t="n">
        <v>2807</v>
      </c>
      <c r="C38" s="18">
        <f>(2341.0/B38*100)</f>
        <v/>
      </c>
      <c r="D38" s="19" t="n">
        <v>466</v>
      </c>
      <c r="E38" s="18" t="n">
        <v>29.36182509</v>
      </c>
      <c r="F38" s="20" t="n">
        <v>2.39844242</v>
      </c>
      <c r="G38" s="18" t="n">
        <v>70.08013268000001</v>
      </c>
      <c r="H38" s="20" t="n">
        <v>2.37299942</v>
      </c>
      <c r="I38" s="18" t="s">
        <v>349</v>
      </c>
      <c r="J38" s="20" t="s">
        <v>349</v>
      </c>
      <c r="K38" s="18" t="n">
        <v>0.17456163</v>
      </c>
      <c r="L38" s="20" t="n">
        <v>0.17537418</v>
      </c>
      <c r="M38" s="18" t="n">
        <v>0</v>
      </c>
      <c r="N38" s="20" t="n">
        <v>0</v>
      </c>
      <c r="O38" s="18" t="n">
        <v>0</v>
      </c>
      <c r="P38" s="20" t="n">
        <v>0</v>
      </c>
      <c r="Q38" s="18" t="n">
        <v>0.38348061</v>
      </c>
      <c r="R38" s="20" t="n">
        <v>0.29132403</v>
      </c>
    </row>
    <row r="39" spans="1:18">
      <c r="A39" s="15" t="s">
        <v>381</v>
      </c>
      <c r="B39" s="17" t="n">
        <v>2938</v>
      </c>
      <c r="C39" s="18">
        <f>(2578.0/B39*100)</f>
        <v/>
      </c>
      <c r="D39" s="19" t="n">
        <v>360</v>
      </c>
      <c r="E39" s="18" t="n">
        <v>54.62490711</v>
      </c>
      <c r="F39" s="20" t="n">
        <v>2.88587321</v>
      </c>
      <c r="G39" s="18" t="n">
        <v>42.61435116</v>
      </c>
      <c r="H39" s="20" t="n">
        <v>3.13797534</v>
      </c>
      <c r="I39" s="18" t="s">
        <v>349</v>
      </c>
      <c r="J39" s="20" t="s">
        <v>349</v>
      </c>
      <c r="K39" s="18" t="n">
        <v>0.30201409</v>
      </c>
      <c r="L39" s="20" t="n">
        <v>0.42829795</v>
      </c>
      <c r="M39" s="18" t="n">
        <v>0</v>
      </c>
      <c r="N39" s="20" t="n">
        <v>0</v>
      </c>
      <c r="O39" s="18" t="n">
        <v>0</v>
      </c>
      <c r="P39" s="20" t="n">
        <v>0</v>
      </c>
      <c r="Q39" s="18" t="n">
        <v>2.45872764</v>
      </c>
      <c r="R39" s="20" t="n">
        <v>0.91551213</v>
      </c>
    </row>
    <row r="40" spans="1:18">
      <c r="A40" s="15" t="s">
        <v>382</v>
      </c>
      <c r="B40" s="17" t="n">
        <v>6922</v>
      </c>
      <c r="C40" s="18">
        <f>(6075.0/B40*100)</f>
        <v/>
      </c>
      <c r="D40" s="19" t="n">
        <v>847</v>
      </c>
      <c r="E40" s="18" t="n">
        <v>38.07681689</v>
      </c>
      <c r="F40" s="20" t="n">
        <v>2.48867685</v>
      </c>
      <c r="G40" s="18" t="n">
        <v>61.44018963</v>
      </c>
      <c r="H40" s="20" t="n">
        <v>2.43204066</v>
      </c>
      <c r="I40" s="18" t="s">
        <v>349</v>
      </c>
      <c r="J40" s="20" t="s">
        <v>349</v>
      </c>
      <c r="K40" s="18" t="n">
        <v>0</v>
      </c>
      <c r="L40" s="20" t="n">
        <v>0</v>
      </c>
      <c r="M40" s="18" t="n">
        <v>0</v>
      </c>
      <c r="N40" s="20" t="n">
        <v>0</v>
      </c>
      <c r="O40" s="18" t="n">
        <v>0</v>
      </c>
      <c r="P40" s="20" t="n">
        <v>0</v>
      </c>
      <c r="Q40" s="18" t="n">
        <v>0.48299348</v>
      </c>
      <c r="R40" s="20" t="n">
        <v>0.43645128</v>
      </c>
    </row>
    <row r="41" spans="1:18">
      <c r="A41" s="15" t="s">
        <v>383</v>
      </c>
      <c r="B41" s="17" t="n">
        <v>2854</v>
      </c>
      <c r="C41" s="18">
        <f>(2505.0/B41*100)</f>
        <v/>
      </c>
      <c r="D41" s="19" t="n">
        <v>349</v>
      </c>
      <c r="E41" s="18" t="n">
        <v>44.94671837</v>
      </c>
      <c r="F41" s="20" t="n">
        <v>2.78290228</v>
      </c>
      <c r="G41" s="18" t="n">
        <v>54.80049831</v>
      </c>
      <c r="H41" s="20" t="n">
        <v>2.78481384</v>
      </c>
      <c r="I41" s="18" t="s">
        <v>349</v>
      </c>
      <c r="J41" s="20" t="s">
        <v>349</v>
      </c>
      <c r="K41" s="18" t="n">
        <v>0</v>
      </c>
      <c r="L41" s="20" t="n">
        <v>0</v>
      </c>
      <c r="M41" s="18" t="n">
        <v>0</v>
      </c>
      <c r="N41" s="20" t="n">
        <v>0</v>
      </c>
      <c r="O41" s="18" t="n">
        <v>0</v>
      </c>
      <c r="P41" s="20" t="n">
        <v>0</v>
      </c>
      <c r="Q41" s="18" t="n">
        <v>0.25278332</v>
      </c>
      <c r="R41" s="20" t="n">
        <v>0.24751646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(10657.0/B46*100)</f>
        <v/>
      </c>
      <c r="D46" s="19" t="n">
        <v>1416</v>
      </c>
      <c r="E46" s="18" t="n">
        <v>65.49713955</v>
      </c>
      <c r="F46" s="20" t="n">
        <v>1.78151752</v>
      </c>
      <c r="G46" s="18" t="n">
        <v>32.62935145</v>
      </c>
      <c r="H46" s="20" t="n">
        <v>1.81154116</v>
      </c>
      <c r="I46" s="18" t="s">
        <v>349</v>
      </c>
      <c r="J46" s="20" t="s">
        <v>349</v>
      </c>
      <c r="K46" s="18" t="n">
        <v>0.32218247</v>
      </c>
      <c r="L46" s="20" t="n">
        <v>0.18006999</v>
      </c>
      <c r="M46" s="18" t="n">
        <v>0</v>
      </c>
      <c r="N46" s="20" t="n">
        <v>0</v>
      </c>
      <c r="O46" s="18" t="n">
        <v>0</v>
      </c>
      <c r="P46" s="20" t="n">
        <v>0</v>
      </c>
      <c r="Q46" s="18" t="n">
        <v>1.55132653</v>
      </c>
      <c r="R46" s="20" t="n">
        <v>0.30293454</v>
      </c>
    </row>
    <row r="47" spans="1:18">
      <c r="A47" s="15" t="s">
        <v>389</v>
      </c>
      <c r="B47" s="17" t="n">
        <v>2823</v>
      </c>
      <c r="C47" s="18">
        <f>(2482.0/B47*100)</f>
        <v/>
      </c>
      <c r="D47" s="19" t="n">
        <v>341</v>
      </c>
      <c r="E47" s="18" t="n">
        <v>40.5676389</v>
      </c>
      <c r="F47" s="20" t="n">
        <v>2.84552084</v>
      </c>
      <c r="G47" s="18" t="n">
        <v>59.4323611</v>
      </c>
      <c r="H47" s="20" t="n">
        <v>2.84552084</v>
      </c>
      <c r="I47" s="18" t="s">
        <v>349</v>
      </c>
      <c r="J47" s="20" t="s">
        <v>349</v>
      </c>
      <c r="K47" s="18" t="n">
        <v>0</v>
      </c>
      <c r="L47" s="20" t="n">
        <v>0</v>
      </c>
      <c r="M47" s="18" t="n">
        <v>0</v>
      </c>
      <c r="N47" s="20" t="n">
        <v>0</v>
      </c>
      <c r="O47" s="18" t="n">
        <v>0</v>
      </c>
      <c r="P47" s="20" t="n">
        <v>0</v>
      </c>
      <c r="Q47" s="18" t="n">
        <v>0</v>
      </c>
      <c r="R47" s="20" t="n">
        <v>0</v>
      </c>
    </row>
    <row r="48" spans="1:18">
      <c r="A48" s="15" t="s">
        <v>390</v>
      </c>
      <c r="B48" s="17" t="n">
        <v>4682</v>
      </c>
      <c r="C48" s="18">
        <f>(4099.0/B48*100)</f>
        <v/>
      </c>
      <c r="D48" s="19" t="n">
        <v>583</v>
      </c>
      <c r="E48" s="18" t="n">
        <v>39.97839726</v>
      </c>
      <c r="F48" s="20" t="n">
        <v>2.88798663</v>
      </c>
      <c r="G48" s="18" t="n">
        <v>59.76599152</v>
      </c>
      <c r="H48" s="20" t="n">
        <v>2.87044477</v>
      </c>
      <c r="I48" s="18" t="s">
        <v>349</v>
      </c>
      <c r="J48" s="20" t="s">
        <v>349</v>
      </c>
      <c r="K48" s="18" t="n">
        <v>0</v>
      </c>
      <c r="L48" s="20" t="n">
        <v>0</v>
      </c>
      <c r="M48" s="18" t="n">
        <v>0</v>
      </c>
      <c r="N48" s="20" t="n">
        <v>0</v>
      </c>
      <c r="O48" s="18" t="n">
        <v>0</v>
      </c>
      <c r="P48" s="20" t="n">
        <v>0</v>
      </c>
      <c r="Q48" s="18" t="n">
        <v>0.25561122</v>
      </c>
      <c r="R48" s="20" t="n">
        <v>0.254755</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(5395.0/B50*100)</f>
        <v/>
      </c>
      <c r="D50" s="19" t="n">
        <v>763</v>
      </c>
      <c r="E50" s="18" t="n">
        <v>65.63833608</v>
      </c>
      <c r="F50" s="20" t="n">
        <v>2.3036826</v>
      </c>
      <c r="G50" s="18" t="n">
        <v>33.52433206</v>
      </c>
      <c r="H50" s="20" t="n">
        <v>2.34341119</v>
      </c>
      <c r="I50" s="18" t="s">
        <v>349</v>
      </c>
      <c r="J50" s="20" t="s">
        <v>349</v>
      </c>
      <c r="K50" s="18" t="n">
        <v>0.19397704</v>
      </c>
      <c r="L50" s="20" t="n">
        <v>0.11089483</v>
      </c>
      <c r="M50" s="18" t="n">
        <v>0</v>
      </c>
      <c r="N50" s="20" t="n">
        <v>0</v>
      </c>
      <c r="O50" s="18" t="n">
        <v>0</v>
      </c>
      <c r="P50" s="20" t="n">
        <v>0</v>
      </c>
      <c r="Q50" s="18" t="n">
        <v>0.64335482</v>
      </c>
      <c r="R50" s="20" t="n">
        <v>0.32400161</v>
      </c>
    </row>
    <row r="51" spans="1:18">
      <c r="A51" s="15" t="s">
        <v>393</v>
      </c>
      <c r="B51" s="17" t="n">
        <v>3494</v>
      </c>
      <c r="C51" s="18">
        <f>(3090.0/B51*100)</f>
        <v/>
      </c>
      <c r="D51" s="19" t="n">
        <v>404</v>
      </c>
      <c r="E51" s="18" t="n">
        <v>65.42240872000001</v>
      </c>
      <c r="F51" s="20" t="n">
        <v>2.43347714</v>
      </c>
      <c r="G51" s="18" t="n">
        <v>33.61369803</v>
      </c>
      <c r="H51" s="20" t="n">
        <v>2.51017243</v>
      </c>
      <c r="I51" s="18" t="s">
        <v>349</v>
      </c>
      <c r="J51" s="20" t="s">
        <v>349</v>
      </c>
      <c r="K51" s="18" t="n">
        <v>0</v>
      </c>
      <c r="L51" s="20" t="n">
        <v>0</v>
      </c>
      <c r="M51" s="18" t="n">
        <v>0</v>
      </c>
      <c r="N51" s="20" t="n">
        <v>0</v>
      </c>
      <c r="O51" s="18" t="n">
        <v>0</v>
      </c>
      <c r="P51" s="20" t="n">
        <v>0</v>
      </c>
      <c r="Q51" s="18" t="n">
        <v>0.96389324</v>
      </c>
      <c r="R51" s="20" t="n">
        <v>0.46943484</v>
      </c>
    </row>
    <row r="52" spans="1:18">
      <c r="A52" s="15" t="s">
        <v>394</v>
      </c>
      <c r="B52" s="17" t="n">
        <v>3013</v>
      </c>
      <c r="C52" s="18">
        <f>(2644.0/B52*100)</f>
        <v/>
      </c>
      <c r="D52" s="19" t="n">
        <v>369</v>
      </c>
      <c r="E52" s="18" t="n">
        <v>37.43238139</v>
      </c>
      <c r="F52" s="20" t="n">
        <v>2.95024013</v>
      </c>
      <c r="G52" s="18" t="n">
        <v>62.29867351</v>
      </c>
      <c r="H52" s="20" t="n">
        <v>2.95057999</v>
      </c>
      <c r="I52" s="18" t="s">
        <v>349</v>
      </c>
      <c r="J52" s="20" t="s">
        <v>349</v>
      </c>
      <c r="K52" s="18" t="n">
        <v>0</v>
      </c>
      <c r="L52" s="20" t="n">
        <v>0</v>
      </c>
      <c r="M52" s="18" t="n">
        <v>0</v>
      </c>
      <c r="N52" s="20" t="n">
        <v>0</v>
      </c>
      <c r="O52" s="18" t="n">
        <v>0</v>
      </c>
      <c r="P52" s="20" t="n">
        <v>0</v>
      </c>
      <c r="Q52" s="18" t="n">
        <v>0.2689451</v>
      </c>
      <c r="R52" s="20" t="n">
        <v>0.25595788</v>
      </c>
    </row>
    <row r="53" spans="1:18">
      <c r="A53" s="15" t="s">
        <v>395</v>
      </c>
      <c r="B53" s="17" t="n">
        <v>2760</v>
      </c>
      <c r="C53" s="18">
        <f>(2414.0/B53*100)</f>
        <v/>
      </c>
      <c r="D53" s="19" t="n">
        <v>346</v>
      </c>
      <c r="E53" s="18" t="n">
        <v>35.90666238</v>
      </c>
      <c r="F53" s="20" t="n">
        <v>3.11828405</v>
      </c>
      <c r="G53" s="18" t="n">
        <v>64.09333762</v>
      </c>
      <c r="H53" s="20" t="n">
        <v>3.11828405</v>
      </c>
      <c r="I53" s="18" t="s">
        <v>349</v>
      </c>
      <c r="J53" s="20" t="s">
        <v>349</v>
      </c>
      <c r="K53" s="18" t="n">
        <v>0</v>
      </c>
      <c r="L53" s="20" t="n">
        <v>0</v>
      </c>
      <c r="M53" s="18" t="n">
        <v>0</v>
      </c>
      <c r="N53" s="20" t="n">
        <v>0</v>
      </c>
      <c r="O53" s="18" t="n">
        <v>0</v>
      </c>
      <c r="P53" s="20" t="n">
        <v>0</v>
      </c>
      <c r="Q53" s="18" t="n">
        <v>0</v>
      </c>
      <c r="R53" s="20" t="n">
        <v>0</v>
      </c>
    </row>
    <row r="54" spans="1:18">
      <c r="A54" s="15" t="s">
        <v>396</v>
      </c>
      <c r="B54" s="17" t="n">
        <v>2474</v>
      </c>
      <c r="C54" s="18">
        <f>(2084.0/B54*100)</f>
        <v/>
      </c>
      <c r="D54" s="19" t="n">
        <v>390</v>
      </c>
      <c r="E54" s="18" t="n">
        <v>80.26770117</v>
      </c>
      <c r="F54" s="20" t="n">
        <v>2.21513534</v>
      </c>
      <c r="G54" s="18" t="n">
        <v>13.85028898</v>
      </c>
      <c r="H54" s="20" t="n">
        <v>1.81030804</v>
      </c>
      <c r="I54" s="18" t="s">
        <v>349</v>
      </c>
      <c r="J54" s="20" t="s">
        <v>349</v>
      </c>
      <c r="K54" s="18" t="n">
        <v>2.96817983</v>
      </c>
      <c r="L54" s="20" t="n">
        <v>0.99425419</v>
      </c>
      <c r="M54" s="18" t="n">
        <v>0</v>
      </c>
      <c r="N54" s="20" t="n">
        <v>0</v>
      </c>
      <c r="O54" s="18" t="n">
        <v>0</v>
      </c>
      <c r="P54" s="20" t="n">
        <v>0</v>
      </c>
      <c r="Q54" s="18" t="n">
        <v>2.91383002</v>
      </c>
      <c r="R54" s="20" t="n">
        <v>1.19305727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(2323.0/B56*100)</f>
        <v/>
      </c>
      <c r="D56" s="19" t="n">
        <v>352</v>
      </c>
      <c r="E56" s="18" t="n">
        <v>27.27762697</v>
      </c>
      <c r="F56" s="20" t="n">
        <v>2.78062693</v>
      </c>
      <c r="G56" s="18" t="n">
        <v>72.72237303</v>
      </c>
      <c r="H56" s="20" t="n">
        <v>2.78062693</v>
      </c>
      <c r="I56" s="18" t="s">
        <v>349</v>
      </c>
      <c r="J56" s="20" t="s">
        <v>349</v>
      </c>
      <c r="K56" s="18" t="n">
        <v>0</v>
      </c>
      <c r="L56" s="20" t="n">
        <v>0</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(2815.0/B61*100)</f>
        <v/>
      </c>
      <c r="D61" s="19" t="n">
        <v>386</v>
      </c>
      <c r="E61" s="18" t="n">
        <v>36.83747381</v>
      </c>
      <c r="F61" s="20" t="n">
        <v>2.7023625</v>
      </c>
      <c r="G61" s="18" t="n">
        <v>62.27000394</v>
      </c>
      <c r="H61" s="20" t="n">
        <v>2.61657412</v>
      </c>
      <c r="I61" s="18" t="s">
        <v>349</v>
      </c>
      <c r="J61" s="20" t="s">
        <v>349</v>
      </c>
      <c r="K61" s="18" t="n">
        <v>0.5810858</v>
      </c>
      <c r="L61" s="20" t="n">
        <v>0.41310436</v>
      </c>
      <c r="M61" s="18" t="n">
        <v>0</v>
      </c>
      <c r="N61" s="20" t="n">
        <v>0</v>
      </c>
      <c r="O61" s="18" t="n">
        <v>0</v>
      </c>
      <c r="P61" s="20" t="n">
        <v>0</v>
      </c>
      <c r="Q61" s="18" t="n">
        <v>0.31143645</v>
      </c>
      <c r="R61" s="20" t="n">
        <v>0.42414262</v>
      </c>
    </row>
    <row r="62" spans="1:18">
      <c r="A62" s="15" t="s">
        <v>404</v>
      </c>
      <c r="B62" s="17" t="n">
        <v>2230</v>
      </c>
      <c r="C62" s="18">
        <f>(1945.0/B62*100)</f>
        <v/>
      </c>
      <c r="D62" s="19" t="n">
        <v>285</v>
      </c>
      <c r="E62" s="18" t="n">
        <v>28.48802926</v>
      </c>
      <c r="F62" s="20" t="n">
        <v>2.31708829</v>
      </c>
      <c r="G62" s="18" t="n">
        <v>71.51197074</v>
      </c>
      <c r="H62" s="20" t="n">
        <v>2.31708829</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(2431.0/B66*100)</f>
        <v/>
      </c>
      <c r="D66" s="19" t="n">
        <v>340</v>
      </c>
      <c r="E66" s="18" t="n">
        <v>54.41518987</v>
      </c>
      <c r="F66" s="20" t="n">
        <v>2.62827621</v>
      </c>
      <c r="G66" s="18" t="n">
        <v>41.46883204</v>
      </c>
      <c r="H66" s="20" t="n">
        <v>2.58343126</v>
      </c>
      <c r="I66" s="18" t="s">
        <v>349</v>
      </c>
      <c r="J66" s="20" t="s">
        <v>349</v>
      </c>
      <c r="K66" s="18" t="n">
        <v>0</v>
      </c>
      <c r="L66" s="20" t="n">
        <v>0</v>
      </c>
      <c r="M66" s="18" t="n">
        <v>0</v>
      </c>
      <c r="N66" s="20" t="n">
        <v>0</v>
      </c>
      <c r="O66" s="18" t="n">
        <v>0</v>
      </c>
      <c r="P66" s="20" t="n">
        <v>0</v>
      </c>
      <c r="Q66" s="18" t="n">
        <v>4.11597809</v>
      </c>
      <c r="R66" s="20" t="n">
        <v>0.99750945</v>
      </c>
    </row>
    <row r="67" spans="1:18">
      <c r="A67" s="15" t="s">
        <v>409</v>
      </c>
      <c r="B67" s="17" t="n">
        <v>3460</v>
      </c>
      <c r="C67" s="18">
        <f>(3033.0/B67*100)</f>
        <v/>
      </c>
      <c r="D67" s="19" t="n">
        <v>427</v>
      </c>
      <c r="E67" s="18" t="n">
        <v>60.19008305</v>
      </c>
      <c r="F67" s="20" t="n">
        <v>2.21617855</v>
      </c>
      <c r="G67" s="18" t="n">
        <v>37.90346748</v>
      </c>
      <c r="H67" s="20" t="n">
        <v>2.23867006</v>
      </c>
      <c r="I67" s="18" t="s">
        <v>349</v>
      </c>
      <c r="J67" s="20" t="s">
        <v>349</v>
      </c>
      <c r="K67" s="18" t="n">
        <v>0</v>
      </c>
      <c r="L67" s="20" t="n">
        <v>0</v>
      </c>
      <c r="M67" s="18" t="n">
        <v>0</v>
      </c>
      <c r="N67" s="20" t="n">
        <v>0</v>
      </c>
      <c r="O67" s="18" t="n">
        <v>0</v>
      </c>
      <c r="P67" s="20" t="n">
        <v>0</v>
      </c>
      <c r="Q67" s="18" t="n">
        <v>1.90644947</v>
      </c>
      <c r="R67" s="20" t="n">
        <v>0.63684186</v>
      </c>
    </row>
    <row r="68" spans="1:18">
      <c r="A68" s="15" t="s">
        <v>410</v>
      </c>
      <c r="B68" s="17" t="n">
        <v>6034</v>
      </c>
      <c r="C68" s="18">
        <f>(5023.0/B68*100)</f>
        <v/>
      </c>
      <c r="D68" s="19" t="n">
        <v>1011</v>
      </c>
      <c r="E68" s="18" t="n">
        <v>59.01541164</v>
      </c>
      <c r="F68" s="20" t="n">
        <v>1.23574593</v>
      </c>
      <c r="G68" s="18" t="n">
        <v>39.39043208</v>
      </c>
      <c r="H68" s="20" t="n">
        <v>1.1578753</v>
      </c>
      <c r="I68" s="18" t="s">
        <v>349</v>
      </c>
      <c r="J68" s="20" t="s">
        <v>349</v>
      </c>
      <c r="K68" s="18" t="n">
        <v>0.58407288</v>
      </c>
      <c r="L68" s="20" t="n">
        <v>0.19513966</v>
      </c>
      <c r="M68" s="18" t="n">
        <v>0</v>
      </c>
      <c r="N68" s="20" t="n">
        <v>0</v>
      </c>
      <c r="O68" s="18" t="n">
        <v>0</v>
      </c>
      <c r="P68" s="20" t="n">
        <v>0</v>
      </c>
      <c r="Q68" s="18" t="n">
        <v>1.01008339</v>
      </c>
      <c r="R68" s="20" t="n">
        <v>0.322042</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(2711.0/B70*100)</f>
        <v/>
      </c>
      <c r="D70" s="19" t="n">
        <v>396</v>
      </c>
      <c r="E70" s="18" t="n">
        <v>41.27986825</v>
      </c>
      <c r="F70" s="20" t="n">
        <v>3.00190223</v>
      </c>
      <c r="G70" s="18" t="n">
        <v>58.36641991</v>
      </c>
      <c r="H70" s="20" t="n">
        <v>2.97260147</v>
      </c>
      <c r="I70" s="18" t="s">
        <v>349</v>
      </c>
      <c r="J70" s="20" t="s">
        <v>349</v>
      </c>
      <c r="K70" s="18" t="n">
        <v>0</v>
      </c>
      <c r="L70" s="20" t="n">
        <v>0</v>
      </c>
      <c r="M70" s="18" t="n">
        <v>0</v>
      </c>
      <c r="N70" s="20" t="n">
        <v>0</v>
      </c>
      <c r="O70" s="18" t="n">
        <v>0</v>
      </c>
      <c r="P70" s="20" t="n">
        <v>0</v>
      </c>
      <c r="Q70" s="18" t="n">
        <v>0.35371184</v>
      </c>
      <c r="R70" s="20" t="n">
        <v>0.25587423</v>
      </c>
    </row>
    <row r="71" spans="1:18">
      <c r="A71" s="15" t="s">
        <v>413</v>
      </c>
      <c r="B71" s="17" t="n">
        <v>2973</v>
      </c>
      <c r="C71" s="18">
        <f>(2613.0/B71*100)</f>
        <v/>
      </c>
      <c r="D71" s="19" t="n">
        <v>360</v>
      </c>
      <c r="E71" s="18" t="n">
        <v>23.69649909</v>
      </c>
      <c r="F71" s="20" t="n">
        <v>2.17112418</v>
      </c>
      <c r="G71" s="18" t="n">
        <v>75.97972602999999</v>
      </c>
      <c r="H71" s="20" t="n">
        <v>2.19191675</v>
      </c>
      <c r="I71" s="18" t="s">
        <v>349</v>
      </c>
      <c r="J71" s="20" t="s">
        <v>349</v>
      </c>
      <c r="K71" s="18" t="n">
        <v>0.32377488</v>
      </c>
      <c r="L71" s="20" t="n">
        <v>0.32607282</v>
      </c>
      <c r="M71" s="18" t="n">
        <v>0</v>
      </c>
      <c r="N71" s="20" t="n">
        <v>0</v>
      </c>
      <c r="O71" s="18" t="n">
        <v>0</v>
      </c>
      <c r="P71" s="20" t="n">
        <v>0</v>
      </c>
      <c r="Q71" s="18" t="n">
        <v>0</v>
      </c>
      <c r="R71" s="20" t="n">
        <v>0</v>
      </c>
    </row>
    <row r="72" spans="1:18">
      <c r="A72" s="15" t="s">
        <v>414</v>
      </c>
      <c r="B72" s="17" t="n">
        <v>3819</v>
      </c>
      <c r="C72" s="18">
        <f>(3345.0/B72*100)</f>
        <v/>
      </c>
      <c r="D72" s="19" t="n">
        <v>474</v>
      </c>
      <c r="E72" s="18" t="n">
        <v>19.59805192</v>
      </c>
      <c r="F72" s="20" t="n">
        <v>2.03309054</v>
      </c>
      <c r="G72" s="18" t="n">
        <v>79.90293601</v>
      </c>
      <c r="H72" s="20" t="n">
        <v>2.07592172</v>
      </c>
      <c r="I72" s="18" t="s">
        <v>349</v>
      </c>
      <c r="J72" s="20" t="s">
        <v>349</v>
      </c>
      <c r="K72" s="18" t="n">
        <v>0</v>
      </c>
      <c r="L72" s="20" t="n">
        <v>0</v>
      </c>
      <c r="M72" s="18" t="n">
        <v>0</v>
      </c>
      <c r="N72" s="20" t="n">
        <v>0</v>
      </c>
      <c r="O72" s="18" t="n">
        <v>0</v>
      </c>
      <c r="P72" s="20" t="n">
        <v>0</v>
      </c>
      <c r="Q72" s="18" t="n">
        <v>0.49901206</v>
      </c>
      <c r="R72" s="20" t="n">
        <v>0.3207844</v>
      </c>
    </row>
    <row r="73" spans="1:18">
      <c r="A73" s="15" t="s">
        <v>415</v>
      </c>
      <c r="B73" s="17" t="n">
        <v>4652</v>
      </c>
      <c r="C73" s="18">
        <f>(4103.0/B73*100)</f>
        <v/>
      </c>
      <c r="D73" s="19" t="n">
        <v>549</v>
      </c>
      <c r="E73" s="18" t="n">
        <v>53.22567668</v>
      </c>
      <c r="F73" s="20" t="n">
        <v>2.29977489</v>
      </c>
      <c r="G73" s="18" t="n">
        <v>46.26356273</v>
      </c>
      <c r="H73" s="20" t="n">
        <v>2.2998283</v>
      </c>
      <c r="I73" s="18" t="s">
        <v>349</v>
      </c>
      <c r="J73" s="20" t="s">
        <v>349</v>
      </c>
      <c r="K73" s="18" t="n">
        <v>0</v>
      </c>
      <c r="L73" s="20" t="n">
        <v>0</v>
      </c>
      <c r="M73" s="18" t="n">
        <v>0</v>
      </c>
      <c r="N73" s="20" t="n">
        <v>0</v>
      </c>
      <c r="O73" s="18" t="n">
        <v>0</v>
      </c>
      <c r="P73" s="20" t="n">
        <v>0</v>
      </c>
      <c r="Q73" s="18" t="n">
        <v>0.51076058</v>
      </c>
      <c r="R73" s="20" t="n">
        <v>0.36075182</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(2622.0/B75*100)</f>
        <v/>
      </c>
      <c r="D75" s="19" t="n">
        <v>347</v>
      </c>
      <c r="E75" s="18" t="n">
        <v>72.06376971</v>
      </c>
      <c r="F75" s="20" t="n">
        <v>2.24732053</v>
      </c>
      <c r="G75" s="18" t="n">
        <v>26.22340558</v>
      </c>
      <c r="H75" s="20" t="n">
        <v>2.21627796</v>
      </c>
      <c r="I75" s="18" t="s">
        <v>349</v>
      </c>
      <c r="J75" s="20" t="s">
        <v>349</v>
      </c>
      <c r="K75" s="18" t="n">
        <v>0.61458248</v>
      </c>
      <c r="L75" s="20" t="n">
        <v>0.37622581</v>
      </c>
      <c r="M75" s="18" t="n">
        <v>0</v>
      </c>
      <c r="N75" s="20" t="n">
        <v>0</v>
      </c>
      <c r="O75" s="18" t="n">
        <v>0</v>
      </c>
      <c r="P75" s="20" t="n">
        <v>0</v>
      </c>
      <c r="Q75" s="18" t="n">
        <v>1.09824223</v>
      </c>
      <c r="R75" s="20" t="n">
        <v>0.55547456</v>
      </c>
    </row>
    <row r="76" spans="1:18">
      <c r="A76" s="15" t="s">
        <v>418</v>
      </c>
      <c r="B76" s="17" t="n">
        <v>7115</v>
      </c>
      <c r="C76" s="18">
        <f>(6246.0/B76*100)</f>
        <v/>
      </c>
      <c r="D76" s="19" t="n">
        <v>869</v>
      </c>
      <c r="E76" s="18" t="n">
        <v>51.41092221</v>
      </c>
      <c r="F76" s="20" t="n">
        <v>1.92343226</v>
      </c>
      <c r="G76" s="18" t="n">
        <v>48.19672493</v>
      </c>
      <c r="H76" s="20" t="n">
        <v>1.902544</v>
      </c>
      <c r="I76" s="18" t="s">
        <v>349</v>
      </c>
      <c r="J76" s="20" t="s">
        <v>349</v>
      </c>
      <c r="K76" s="18" t="n">
        <v>0.13084469</v>
      </c>
      <c r="L76" s="20" t="n">
        <v>0.13033251</v>
      </c>
      <c r="M76" s="18" t="n">
        <v>0</v>
      </c>
      <c r="N76" s="20" t="n">
        <v>0</v>
      </c>
      <c r="O76" s="18" t="n">
        <v>0</v>
      </c>
      <c r="P76" s="20" t="n">
        <v>0</v>
      </c>
      <c r="Q76" s="18" t="n">
        <v>0.26150817</v>
      </c>
      <c r="R76" s="20" t="n">
        <v>0.19016927</v>
      </c>
    </row>
    <row r="77" spans="1:18">
      <c r="A77" s="15" t="s">
        <v>419</v>
      </c>
      <c r="B77" s="17" t="n">
        <v>3154</v>
      </c>
      <c r="C77" s="18">
        <f>(2780.0/B77*100)</f>
        <v/>
      </c>
      <c r="D77" s="19" t="n">
        <v>374</v>
      </c>
      <c r="E77" s="18" t="n">
        <v>52.74000126</v>
      </c>
      <c r="F77" s="20" t="n">
        <v>2.50654429</v>
      </c>
      <c r="G77" s="18" t="n">
        <v>46.1071836</v>
      </c>
      <c r="H77" s="20" t="n">
        <v>2.56933799</v>
      </c>
      <c r="I77" s="18" t="s">
        <v>349</v>
      </c>
      <c r="J77" s="20" t="s">
        <v>349</v>
      </c>
      <c r="K77" s="18" t="n">
        <v>0.28085491</v>
      </c>
      <c r="L77" s="20" t="n">
        <v>0.28263804</v>
      </c>
      <c r="M77" s="18" t="n">
        <v>0</v>
      </c>
      <c r="N77" s="20" t="n">
        <v>0</v>
      </c>
      <c r="O77" s="18" t="n">
        <v>0</v>
      </c>
      <c r="P77" s="20" t="n">
        <v>0</v>
      </c>
      <c r="Q77" s="18" t="n">
        <v>0.87196022</v>
      </c>
      <c r="R77" s="20" t="n">
        <v>0.73338408</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(4138.0/B81*100)</f>
        <v/>
      </c>
      <c r="D81" s="19" t="n">
        <v>560</v>
      </c>
      <c r="E81" s="18" t="n">
        <v>41.47174806</v>
      </c>
      <c r="F81" s="20" t="n">
        <v>2.67552161</v>
      </c>
      <c r="G81" s="18" t="n">
        <v>58.2697743</v>
      </c>
      <c r="H81" s="20" t="n">
        <v>2.67953103</v>
      </c>
      <c r="I81" s="18" t="s">
        <v>349</v>
      </c>
      <c r="J81" s="20" t="s">
        <v>349</v>
      </c>
      <c r="K81" s="18" t="n">
        <v>0</v>
      </c>
      <c r="L81" s="20" t="n">
        <v>0</v>
      </c>
      <c r="M81" s="18" t="n">
        <v>0</v>
      </c>
      <c r="N81" s="20" t="n">
        <v>0</v>
      </c>
      <c r="O81" s="18" t="n">
        <v>0</v>
      </c>
      <c r="P81" s="20" t="n">
        <v>0</v>
      </c>
      <c r="Q81" s="18" t="n">
        <v>0.25847763</v>
      </c>
      <c r="R81" s="20" t="n">
        <v>0.25699337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439</v>
      </c>
    </row>
    <row customHeight="1" ht="30" r="4" spans="1:24">
      <c r="A4" s="6" t="n"/>
      <c r="B4" s="7" t="s">
        <v>333</v>
      </c>
      <c r="C4" s="7" t="s">
        <v>334</v>
      </c>
      <c r="D4" s="8" t="s">
        <v>333</v>
      </c>
      <c r="E4" s="9" t="s">
        <v>440</v>
      </c>
      <c r="F4" s="10" t="n"/>
      <c r="G4" s="9" t="s">
        <v>441</v>
      </c>
      <c r="H4" s="10" t="n"/>
      <c r="I4" s="9" t="s">
        <v>442</v>
      </c>
      <c r="J4" s="10" t="n"/>
      <c r="K4" s="9" t="s">
        <v>443</v>
      </c>
      <c r="L4" s="10" t="n"/>
      <c r="M4" s="9" t="s">
        <v>444</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row>
    <row r="6" spans="1:24">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348</v>
      </c>
      <c r="B7" s="17" t="n">
        <v>7163</v>
      </c>
      <c r="C7" s="18">
        <f>(6246.0/B7*100)</f>
        <v/>
      </c>
      <c r="D7" s="19" t="n">
        <v>917</v>
      </c>
      <c r="E7" s="18" t="n">
        <v>21.78009423</v>
      </c>
      <c r="F7" s="20" t="n">
        <v>1.72232061</v>
      </c>
      <c r="G7" s="18" t="n">
        <v>5.62673376</v>
      </c>
      <c r="H7" s="20" t="n">
        <v>0.94190291</v>
      </c>
      <c r="I7" s="18" t="n">
        <v>8.676001429999999</v>
      </c>
      <c r="J7" s="20" t="n">
        <v>1.12847168</v>
      </c>
      <c r="K7" s="18" t="n">
        <v>2.39162397</v>
      </c>
      <c r="L7" s="20" t="n">
        <v>0.59190792</v>
      </c>
      <c r="M7" s="18" t="n">
        <v>56.6644332</v>
      </c>
      <c r="N7" s="20" t="n">
        <v>2.09884626</v>
      </c>
      <c r="O7" s="18" t="s">
        <v>349</v>
      </c>
      <c r="P7" s="20" t="s">
        <v>349</v>
      </c>
      <c r="Q7" s="18" t="n">
        <v>0.07974565</v>
      </c>
      <c r="R7" s="20" t="n">
        <v>0.07778742</v>
      </c>
      <c r="S7" s="18" t="n">
        <v>0.01119486</v>
      </c>
      <c r="T7" s="20" t="n">
        <v>0.01133266</v>
      </c>
      <c r="U7" s="18" t="n">
        <v>0</v>
      </c>
      <c r="V7" s="20" t="n">
        <v>0</v>
      </c>
      <c r="W7" s="18" t="n">
        <v>4.77017291</v>
      </c>
      <c r="X7" s="20" t="n">
        <v>0.67594554</v>
      </c>
    </row>
    <row r="8" spans="1:24">
      <c r="A8" s="15" t="s">
        <v>350</v>
      </c>
      <c r="B8" s="17" t="n">
        <v>3443</v>
      </c>
      <c r="C8" s="18">
        <f>(3031.0/B8*100)</f>
        <v/>
      </c>
      <c r="D8" s="19" t="n">
        <v>412</v>
      </c>
      <c r="E8" s="18" t="n">
        <v>25.27083779</v>
      </c>
      <c r="F8" s="20" t="n">
        <v>2.90727253</v>
      </c>
      <c r="G8" s="18" t="n">
        <v>5.16226583</v>
      </c>
      <c r="H8" s="20" t="n">
        <v>1.23408003</v>
      </c>
      <c r="I8" s="18" t="n">
        <v>6.31747381</v>
      </c>
      <c r="J8" s="20" t="n">
        <v>1.4587228</v>
      </c>
      <c r="K8" s="18" t="n">
        <v>2.0159285</v>
      </c>
      <c r="L8" s="20" t="n">
        <v>0.57933377</v>
      </c>
      <c r="M8" s="18" t="n">
        <v>43.36797332</v>
      </c>
      <c r="N8" s="20" t="n">
        <v>2.25158651</v>
      </c>
      <c r="O8" s="18" t="s">
        <v>349</v>
      </c>
      <c r="P8" s="20" t="s">
        <v>349</v>
      </c>
      <c r="Q8" s="18" t="n">
        <v>0.12491712</v>
      </c>
      <c r="R8" s="20" t="n">
        <v>0.12772073</v>
      </c>
      <c r="S8" s="18" t="n">
        <v>0</v>
      </c>
      <c r="T8" s="20" t="n">
        <v>0</v>
      </c>
      <c r="U8" s="18" t="n">
        <v>0</v>
      </c>
      <c r="V8" s="20" t="n">
        <v>0</v>
      </c>
      <c r="W8" s="18" t="n">
        <v>17.74060363</v>
      </c>
      <c r="X8" s="20" t="n">
        <v>1.93145051</v>
      </c>
    </row>
    <row r="9" spans="1:24">
      <c r="A9" s="15" t="s">
        <v>351</v>
      </c>
      <c r="B9" s="17" t="n">
        <v>4752</v>
      </c>
      <c r="C9" s="18">
        <f>(4171.0/B9*100)</f>
        <v/>
      </c>
      <c r="D9" s="19" t="n">
        <v>581</v>
      </c>
      <c r="E9" s="18" t="n">
        <v>13.4946451</v>
      </c>
      <c r="F9" s="20" t="n">
        <v>1.50970667</v>
      </c>
      <c r="G9" s="18" t="n">
        <v>4.88281809</v>
      </c>
      <c r="H9" s="20" t="n">
        <v>1.05747987</v>
      </c>
      <c r="I9" s="18" t="n">
        <v>8.363975529999999</v>
      </c>
      <c r="J9" s="20" t="n">
        <v>1.37138017</v>
      </c>
      <c r="K9" s="18" t="n">
        <v>2.10357462</v>
      </c>
      <c r="L9" s="20" t="n">
        <v>0.6449373</v>
      </c>
      <c r="M9" s="18" t="n">
        <v>60.73597</v>
      </c>
      <c r="N9" s="20" t="n">
        <v>2.48907091</v>
      </c>
      <c r="O9" s="18" t="s">
        <v>349</v>
      </c>
      <c r="P9" s="20" t="s">
        <v>349</v>
      </c>
      <c r="Q9" s="18" t="n">
        <v>0.22016289</v>
      </c>
      <c r="R9" s="20" t="n">
        <v>0.22066494</v>
      </c>
      <c r="S9" s="18" t="n">
        <v>0.356688</v>
      </c>
      <c r="T9" s="20" t="n">
        <v>0.25813098</v>
      </c>
      <c r="U9" s="18" t="n">
        <v>0</v>
      </c>
      <c r="V9" s="20" t="n">
        <v>0</v>
      </c>
      <c r="W9" s="18" t="n">
        <v>9.84216576</v>
      </c>
      <c r="X9" s="20" t="n">
        <v>1.3995506</v>
      </c>
    </row>
    <row r="10" spans="1:24">
      <c r="A10" s="15" t="s">
        <v>352</v>
      </c>
      <c r="B10" s="17" t="n">
        <v>10022</v>
      </c>
      <c r="C10" s="18">
        <f>(8826.0/B10*100)</f>
        <v/>
      </c>
      <c r="D10" s="19" t="n">
        <v>1196</v>
      </c>
      <c r="E10" s="18" t="n">
        <v>17.28211208</v>
      </c>
      <c r="F10" s="20" t="n">
        <v>1.48361519</v>
      </c>
      <c r="G10" s="18" t="n">
        <v>5.66919363</v>
      </c>
      <c r="H10" s="20" t="n">
        <v>1.00635828</v>
      </c>
      <c r="I10" s="18" t="n">
        <v>9.06906509</v>
      </c>
      <c r="J10" s="20" t="n">
        <v>1.23778894</v>
      </c>
      <c r="K10" s="18" t="n">
        <v>1.03591624</v>
      </c>
      <c r="L10" s="20" t="n">
        <v>0.37328739</v>
      </c>
      <c r="M10" s="18" t="n">
        <v>61.63869307</v>
      </c>
      <c r="N10" s="20" t="n">
        <v>2.05519523</v>
      </c>
      <c r="O10" s="18" t="s">
        <v>349</v>
      </c>
      <c r="P10" s="20" t="s">
        <v>349</v>
      </c>
      <c r="Q10" s="18" t="n">
        <v>0.04022108</v>
      </c>
      <c r="R10" s="20" t="n">
        <v>0.02779739</v>
      </c>
      <c r="S10" s="18" t="n">
        <v>0.18785298</v>
      </c>
      <c r="T10" s="20" t="n">
        <v>0.11904187</v>
      </c>
      <c r="U10" s="18" t="n">
        <v>0</v>
      </c>
      <c r="V10" s="20" t="n">
        <v>0</v>
      </c>
      <c r="W10" s="18" t="n">
        <v>5.07694582</v>
      </c>
      <c r="X10" s="20" t="n">
        <v>1.03062662</v>
      </c>
    </row>
    <row r="11" spans="1:24">
      <c r="A11" s="15" t="s">
        <v>353</v>
      </c>
      <c r="B11" s="17" t="n">
        <v>3500</v>
      </c>
      <c r="C11" s="18">
        <f>(3078.0/B11*100)</f>
        <v/>
      </c>
      <c r="D11" s="19" t="n">
        <v>422</v>
      </c>
      <c r="E11" s="18" t="n">
        <v>22.37029284</v>
      </c>
      <c r="F11" s="20" t="n">
        <v>2.44940017</v>
      </c>
      <c r="G11" s="18" t="n">
        <v>6.58523463</v>
      </c>
      <c r="H11" s="20" t="n">
        <v>1.35938196</v>
      </c>
      <c r="I11" s="18" t="n">
        <v>8.577370439999999</v>
      </c>
      <c r="J11" s="20" t="n">
        <v>1.53749182</v>
      </c>
      <c r="K11" s="18" t="n">
        <v>1.47363632</v>
      </c>
      <c r="L11" s="20" t="n">
        <v>0.73924902</v>
      </c>
      <c r="M11" s="18" t="n">
        <v>24.92065718</v>
      </c>
      <c r="N11" s="20" t="n">
        <v>2.23757224</v>
      </c>
      <c r="O11" s="18" t="s">
        <v>349</v>
      </c>
      <c r="P11" s="20" t="s">
        <v>349</v>
      </c>
      <c r="Q11" s="18" t="n">
        <v>0.15913428</v>
      </c>
      <c r="R11" s="20" t="n">
        <v>0.14585244</v>
      </c>
      <c r="S11" s="18" t="n">
        <v>0</v>
      </c>
      <c r="T11" s="20" t="n">
        <v>0</v>
      </c>
      <c r="U11" s="18" t="n">
        <v>0</v>
      </c>
      <c r="V11" s="20" t="n">
        <v>0</v>
      </c>
      <c r="W11" s="18" t="n">
        <v>35.91367432</v>
      </c>
      <c r="X11" s="20" t="n">
        <v>2.92640249</v>
      </c>
    </row>
    <row r="12" spans="1:24">
      <c r="A12" s="15" t="s">
        <v>354</v>
      </c>
      <c r="B12" s="17" t="n">
        <v>3422</v>
      </c>
      <c r="C12" s="18">
        <f>(3003.0/B12*100)</f>
        <v/>
      </c>
      <c r="D12" s="19" t="n">
        <v>419</v>
      </c>
      <c r="E12" s="18" t="n">
        <v>15.19695221</v>
      </c>
      <c r="F12" s="20" t="n">
        <v>2.24501623</v>
      </c>
      <c r="G12" s="18" t="n">
        <v>4.30961007</v>
      </c>
      <c r="H12" s="20" t="n">
        <v>0.76350934</v>
      </c>
      <c r="I12" s="18" t="n">
        <v>8.05893405</v>
      </c>
      <c r="J12" s="20" t="n">
        <v>1.63899317</v>
      </c>
      <c r="K12" s="18" t="n">
        <v>1.6798996</v>
      </c>
      <c r="L12" s="20" t="n">
        <v>0.76230782</v>
      </c>
      <c r="M12" s="18" t="n">
        <v>51.72534016</v>
      </c>
      <c r="N12" s="20" t="n">
        <v>2.94735626</v>
      </c>
      <c r="O12" s="18" t="s">
        <v>349</v>
      </c>
      <c r="P12" s="20" t="s">
        <v>349</v>
      </c>
      <c r="Q12" s="18" t="n">
        <v>0</v>
      </c>
      <c r="R12" s="20" t="n">
        <v>0</v>
      </c>
      <c r="S12" s="18" t="n">
        <v>0</v>
      </c>
      <c r="T12" s="20" t="n">
        <v>0</v>
      </c>
      <c r="U12" s="18" t="n">
        <v>0</v>
      </c>
      <c r="V12" s="20" t="n">
        <v>0</v>
      </c>
      <c r="W12" s="18" t="n">
        <v>19.02926392</v>
      </c>
      <c r="X12" s="20" t="n">
        <v>2.18227945</v>
      </c>
    </row>
    <row r="13" spans="1:24">
      <c r="A13" s="15" t="s">
        <v>355</v>
      </c>
      <c r="B13" s="17" t="n">
        <v>3602</v>
      </c>
      <c r="C13" s="18">
        <f>(3199.0/B13*100)</f>
        <v/>
      </c>
      <c r="D13" s="19" t="n">
        <v>403</v>
      </c>
      <c r="E13" s="18" t="n">
        <v>13.97608151</v>
      </c>
      <c r="F13" s="20" t="n">
        <v>1.80776994</v>
      </c>
      <c r="G13" s="18" t="n">
        <v>8.801453</v>
      </c>
      <c r="H13" s="20" t="n">
        <v>1.90010119</v>
      </c>
      <c r="I13" s="18" t="n">
        <v>12.18295532</v>
      </c>
      <c r="J13" s="20" t="n">
        <v>2.51182808</v>
      </c>
      <c r="K13" s="18" t="n">
        <v>1.64765001</v>
      </c>
      <c r="L13" s="20" t="n">
        <v>0.66150969</v>
      </c>
      <c r="M13" s="18" t="n">
        <v>54.25476129</v>
      </c>
      <c r="N13" s="20" t="n">
        <v>3.2949554</v>
      </c>
      <c r="O13" s="18" t="s">
        <v>349</v>
      </c>
      <c r="P13" s="20" t="s">
        <v>349</v>
      </c>
      <c r="Q13" s="18" t="n">
        <v>0.53516063</v>
      </c>
      <c r="R13" s="20" t="n">
        <v>0.527482</v>
      </c>
      <c r="S13" s="18" t="n">
        <v>0.0880647</v>
      </c>
      <c r="T13" s="20" t="n">
        <v>0.08922043</v>
      </c>
      <c r="U13" s="18" t="n">
        <v>0</v>
      </c>
      <c r="V13" s="20" t="n">
        <v>0</v>
      </c>
      <c r="W13" s="18" t="n">
        <v>8.513873540000001</v>
      </c>
      <c r="X13" s="20" t="n">
        <v>1.59463781</v>
      </c>
    </row>
    <row r="14" spans="1:24">
      <c r="A14" s="15" t="s">
        <v>356</v>
      </c>
      <c r="B14" s="17" t="n">
        <v>2788</v>
      </c>
      <c r="C14" s="18">
        <f>(2434.0/B14*100)</f>
        <v/>
      </c>
      <c r="D14" s="19" t="n">
        <v>354</v>
      </c>
      <c r="E14" s="18" t="n">
        <v>13.65087425</v>
      </c>
      <c r="F14" s="20" t="n">
        <v>1.75889507</v>
      </c>
      <c r="G14" s="18" t="n">
        <v>5.11755279</v>
      </c>
      <c r="H14" s="20" t="n">
        <v>1.30417113</v>
      </c>
      <c r="I14" s="18" t="n">
        <v>6.4573239</v>
      </c>
      <c r="J14" s="20" t="n">
        <v>1.28713043</v>
      </c>
      <c r="K14" s="18" t="n">
        <v>4.55074587</v>
      </c>
      <c r="L14" s="20" t="n">
        <v>1.29567127</v>
      </c>
      <c r="M14" s="18" t="n">
        <v>62.47469584</v>
      </c>
      <c r="N14" s="20" t="n">
        <v>2.49106917</v>
      </c>
      <c r="O14" s="18" t="s">
        <v>349</v>
      </c>
      <c r="P14" s="20" t="s">
        <v>349</v>
      </c>
      <c r="Q14" s="18" t="n">
        <v>0</v>
      </c>
      <c r="R14" s="20" t="n">
        <v>0</v>
      </c>
      <c r="S14" s="18" t="n">
        <v>0.23033593</v>
      </c>
      <c r="T14" s="20" t="n">
        <v>0.23167439</v>
      </c>
      <c r="U14" s="18" t="n">
        <v>0</v>
      </c>
      <c r="V14" s="20" t="n">
        <v>0</v>
      </c>
      <c r="W14" s="18" t="n">
        <v>7.51847142</v>
      </c>
      <c r="X14" s="20" t="n">
        <v>1.55992329</v>
      </c>
    </row>
    <row r="15" spans="1:24">
      <c r="A15" s="15" t="s">
        <v>357</v>
      </c>
      <c r="B15" s="17" t="n">
        <v>2863</v>
      </c>
      <c r="C15" s="18">
        <f>(2495.0/B15*100)</f>
        <v/>
      </c>
      <c r="D15" s="19" t="n">
        <v>368</v>
      </c>
      <c r="E15" s="18" t="n">
        <v>10.90702171</v>
      </c>
      <c r="F15" s="20" t="n">
        <v>1.47553374</v>
      </c>
      <c r="G15" s="18" t="n">
        <v>5.43820813</v>
      </c>
      <c r="H15" s="20" t="n">
        <v>1.32746269</v>
      </c>
      <c r="I15" s="18" t="n">
        <v>7.01729469</v>
      </c>
      <c r="J15" s="20" t="n">
        <v>1.57936633</v>
      </c>
      <c r="K15" s="18" t="n">
        <v>4.74051188</v>
      </c>
      <c r="L15" s="20" t="n">
        <v>1.12984303</v>
      </c>
      <c r="M15" s="18" t="n">
        <v>66.0511277</v>
      </c>
      <c r="N15" s="20" t="n">
        <v>2.56095959</v>
      </c>
      <c r="O15" s="18" t="s">
        <v>349</v>
      </c>
      <c r="P15" s="20" t="s">
        <v>349</v>
      </c>
      <c r="Q15" s="18" t="n">
        <v>0</v>
      </c>
      <c r="R15" s="20" t="n">
        <v>0</v>
      </c>
      <c r="S15" s="18" t="n">
        <v>0</v>
      </c>
      <c r="T15" s="20" t="n">
        <v>0</v>
      </c>
      <c r="U15" s="18" t="n">
        <v>0</v>
      </c>
      <c r="V15" s="20" t="n">
        <v>0</v>
      </c>
      <c r="W15" s="18" t="n">
        <v>5.84583589</v>
      </c>
      <c r="X15" s="20" t="n">
        <v>1.25447105</v>
      </c>
    </row>
    <row r="16" spans="1:24">
      <c r="A16" s="15" t="s">
        <v>358</v>
      </c>
      <c r="B16" s="17" t="n">
        <v>3111</v>
      </c>
      <c r="C16" s="18">
        <f>(2730.0/B16*100)</f>
        <v/>
      </c>
      <c r="D16" s="19" t="n">
        <v>381</v>
      </c>
      <c r="E16" s="18" t="n">
        <v>14.91890301</v>
      </c>
      <c r="F16" s="20" t="n">
        <v>1.9721975</v>
      </c>
      <c r="G16" s="18" t="n">
        <v>7.42156186</v>
      </c>
      <c r="H16" s="20" t="n">
        <v>1.32078558</v>
      </c>
      <c r="I16" s="18" t="n">
        <v>6.94584076</v>
      </c>
      <c r="J16" s="20" t="n">
        <v>1.33431586</v>
      </c>
      <c r="K16" s="18" t="n">
        <v>1.01181424</v>
      </c>
      <c r="L16" s="20" t="n">
        <v>0.51055337</v>
      </c>
      <c r="M16" s="18" t="n">
        <v>54.23792669</v>
      </c>
      <c r="N16" s="20" t="n">
        <v>2.17392161</v>
      </c>
      <c r="O16" s="18" t="s">
        <v>349</v>
      </c>
      <c r="P16" s="20" t="s">
        <v>349</v>
      </c>
      <c r="Q16" s="18" t="n">
        <v>0.28638234</v>
      </c>
      <c r="R16" s="20" t="n">
        <v>0.21781171</v>
      </c>
      <c r="S16" s="18" t="n">
        <v>0</v>
      </c>
      <c r="T16" s="20" t="n">
        <v>0</v>
      </c>
      <c r="U16" s="18" t="n">
        <v>0</v>
      </c>
      <c r="V16" s="20" t="n">
        <v>0</v>
      </c>
      <c r="W16" s="18" t="n">
        <v>15.1775711</v>
      </c>
      <c r="X16" s="20" t="n">
        <v>1.61228144</v>
      </c>
    </row>
    <row r="17" spans="1:24">
      <c r="A17" s="15" t="s">
        <v>359</v>
      </c>
      <c r="B17" s="17" t="n">
        <v>3197</v>
      </c>
      <c r="C17" s="18">
        <f>(2812.0/B17*100)</f>
        <v/>
      </c>
      <c r="D17" s="19" t="n">
        <v>385</v>
      </c>
      <c r="E17" s="18" t="n">
        <v>12.57213787</v>
      </c>
      <c r="F17" s="20" t="n">
        <v>1.75583616</v>
      </c>
      <c r="G17" s="18" t="n">
        <v>5.19347302</v>
      </c>
      <c r="H17" s="20" t="n">
        <v>1.11936931</v>
      </c>
      <c r="I17" s="18" t="n">
        <v>6.32819587</v>
      </c>
      <c r="J17" s="20" t="n">
        <v>1.31591393</v>
      </c>
      <c r="K17" s="18" t="n">
        <v>1.3895669</v>
      </c>
      <c r="L17" s="20" t="n">
        <v>0.66725526</v>
      </c>
      <c r="M17" s="18" t="n">
        <v>62.28963722</v>
      </c>
      <c r="N17" s="20" t="n">
        <v>2.46073584</v>
      </c>
      <c r="O17" s="18" t="s">
        <v>349</v>
      </c>
      <c r="P17" s="20" t="s">
        <v>349</v>
      </c>
      <c r="Q17" s="18" t="n">
        <v>0.5181183499999999</v>
      </c>
      <c r="R17" s="20" t="n">
        <v>0.36749053</v>
      </c>
      <c r="S17" s="18" t="n">
        <v>0</v>
      </c>
      <c r="T17" s="20" t="n">
        <v>0</v>
      </c>
      <c r="U17" s="18" t="n">
        <v>0</v>
      </c>
      <c r="V17" s="20" t="n">
        <v>0</v>
      </c>
      <c r="W17" s="18" t="n">
        <v>11.70887077</v>
      </c>
      <c r="X17" s="20" t="n">
        <v>1.68179711</v>
      </c>
    </row>
    <row r="18" spans="1:24">
      <c r="A18" s="15" t="s">
        <v>360</v>
      </c>
      <c r="B18" s="17" t="n">
        <v>2706</v>
      </c>
      <c r="C18" s="18">
        <f>(2390.0/B18*100)</f>
        <v/>
      </c>
      <c r="D18" s="19" t="n">
        <v>316</v>
      </c>
      <c r="E18" s="18" t="n">
        <v>20.40994509</v>
      </c>
      <c r="F18" s="20" t="n">
        <v>2.72341354</v>
      </c>
      <c r="G18" s="18" t="n">
        <v>10.51609256</v>
      </c>
      <c r="H18" s="20" t="n">
        <v>2.01863223</v>
      </c>
      <c r="I18" s="18" t="n">
        <v>8.44272745</v>
      </c>
      <c r="J18" s="20" t="n">
        <v>1.5652281</v>
      </c>
      <c r="K18" s="18" t="n">
        <v>3.08534649</v>
      </c>
      <c r="L18" s="20" t="n">
        <v>0.86104982</v>
      </c>
      <c r="M18" s="18" t="n">
        <v>37.94383792</v>
      </c>
      <c r="N18" s="20" t="n">
        <v>2.92854441</v>
      </c>
      <c r="O18" s="18" t="s">
        <v>349</v>
      </c>
      <c r="P18" s="20" t="s">
        <v>349</v>
      </c>
      <c r="Q18" s="18" t="n">
        <v>1.10739166</v>
      </c>
      <c r="R18" s="20" t="n">
        <v>0.52045882</v>
      </c>
      <c r="S18" s="18" t="n">
        <v>0.36024628</v>
      </c>
      <c r="T18" s="20" t="n">
        <v>0.29049961</v>
      </c>
      <c r="U18" s="18" t="n">
        <v>0</v>
      </c>
      <c r="V18" s="20" t="n">
        <v>0</v>
      </c>
      <c r="W18" s="18" t="n">
        <v>18.13441255</v>
      </c>
      <c r="X18" s="20" t="n">
        <v>2.43427429</v>
      </c>
    </row>
    <row r="19" spans="1:24">
      <c r="A19" s="15" t="s">
        <v>361</v>
      </c>
      <c r="B19" s="17" t="n">
        <v>2850</v>
      </c>
      <c r="C19" s="18">
        <f>(2489.0/B19*100)</f>
        <v/>
      </c>
      <c r="D19" s="19" t="n">
        <v>361</v>
      </c>
      <c r="E19" s="18" t="n">
        <v>18.18994034</v>
      </c>
      <c r="F19" s="20" t="n">
        <v>2.47972517</v>
      </c>
      <c r="G19" s="18" t="n">
        <v>3.09753201</v>
      </c>
      <c r="H19" s="20" t="n">
        <v>0.98532847</v>
      </c>
      <c r="I19" s="18" t="n">
        <v>7.8888868</v>
      </c>
      <c r="J19" s="20" t="n">
        <v>1.45150083</v>
      </c>
      <c r="K19" s="18" t="n">
        <v>2.44836277</v>
      </c>
      <c r="L19" s="20" t="n">
        <v>0.77105706</v>
      </c>
      <c r="M19" s="18" t="n">
        <v>52.44382281</v>
      </c>
      <c r="N19" s="20" t="n">
        <v>2.9596828</v>
      </c>
      <c r="O19" s="18" t="s">
        <v>349</v>
      </c>
      <c r="P19" s="20" t="s">
        <v>349</v>
      </c>
      <c r="Q19" s="18" t="n">
        <v>0</v>
      </c>
      <c r="R19" s="20" t="n">
        <v>0</v>
      </c>
      <c r="S19" s="18" t="n">
        <v>0</v>
      </c>
      <c r="T19" s="20" t="n">
        <v>0</v>
      </c>
      <c r="U19" s="18" t="n">
        <v>0</v>
      </c>
      <c r="V19" s="20" t="n">
        <v>0</v>
      </c>
      <c r="W19" s="18" t="n">
        <v>15.93145528</v>
      </c>
      <c r="X19" s="20" t="n">
        <v>2.27690581</v>
      </c>
    </row>
    <row r="20" spans="1:24">
      <c r="A20" s="15" t="s">
        <v>362</v>
      </c>
      <c r="B20" s="17" t="n">
        <v>1741</v>
      </c>
      <c r="C20" s="18">
        <f>(1521.0/B20*100)</f>
        <v/>
      </c>
      <c r="D20" s="19" t="n">
        <v>220</v>
      </c>
      <c r="E20" s="18" t="n">
        <v>23.99752121</v>
      </c>
      <c r="F20" s="20" t="n">
        <v>2.45319202</v>
      </c>
      <c r="G20" s="18" t="n">
        <v>2.74199051</v>
      </c>
      <c r="H20" s="20" t="n">
        <v>1.13218619</v>
      </c>
      <c r="I20" s="18" t="n">
        <v>8.32974016</v>
      </c>
      <c r="J20" s="20" t="n">
        <v>2.05507696</v>
      </c>
      <c r="K20" s="18" t="n">
        <v>0.42981506</v>
      </c>
      <c r="L20" s="20" t="n">
        <v>0.43234699</v>
      </c>
      <c r="M20" s="18" t="n">
        <v>51.87070406</v>
      </c>
      <c r="N20" s="20" t="n">
        <v>3.27527017</v>
      </c>
      <c r="O20" s="18" t="s">
        <v>349</v>
      </c>
      <c r="P20" s="20" t="s">
        <v>349</v>
      </c>
      <c r="Q20" s="18" t="n">
        <v>0</v>
      </c>
      <c r="R20" s="20" t="n">
        <v>0</v>
      </c>
      <c r="S20" s="18" t="n">
        <v>0.69582238</v>
      </c>
      <c r="T20" s="20" t="n">
        <v>0.68079902</v>
      </c>
      <c r="U20" s="18" t="n">
        <v>0</v>
      </c>
      <c r="V20" s="20" t="n">
        <v>0</v>
      </c>
      <c r="W20" s="18" t="n">
        <v>11.9344066</v>
      </c>
      <c r="X20" s="20" t="n">
        <v>2.34078336</v>
      </c>
    </row>
    <row r="21" spans="1:24">
      <c r="A21" s="15" t="s">
        <v>363</v>
      </c>
      <c r="B21" s="17" t="n">
        <v>2833</v>
      </c>
      <c r="C21" s="18">
        <f>(2374.0/B21*100)</f>
        <v/>
      </c>
      <c r="D21" s="19" t="n">
        <v>459</v>
      </c>
      <c r="E21" s="18" t="n">
        <v>20.49186119</v>
      </c>
      <c r="F21" s="20" t="n">
        <v>1.87635437</v>
      </c>
      <c r="G21" s="18" t="n">
        <v>3.7726146</v>
      </c>
      <c r="H21" s="20" t="n">
        <v>0.9505475799999999</v>
      </c>
      <c r="I21" s="18" t="n">
        <v>17.2640353</v>
      </c>
      <c r="J21" s="20" t="n">
        <v>1.98985853</v>
      </c>
      <c r="K21" s="18" t="n">
        <v>0.68365518</v>
      </c>
      <c r="L21" s="20" t="n">
        <v>0.38098871</v>
      </c>
      <c r="M21" s="18" t="n">
        <v>56.00949312</v>
      </c>
      <c r="N21" s="20" t="n">
        <v>2.53997195</v>
      </c>
      <c r="O21" s="18" t="s">
        <v>349</v>
      </c>
      <c r="P21" s="20" t="s">
        <v>349</v>
      </c>
      <c r="Q21" s="18" t="n">
        <v>0</v>
      </c>
      <c r="R21" s="20" t="n">
        <v>0</v>
      </c>
      <c r="S21" s="18" t="n">
        <v>0</v>
      </c>
      <c r="T21" s="20" t="n">
        <v>0</v>
      </c>
      <c r="U21" s="18" t="n">
        <v>0</v>
      </c>
      <c r="V21" s="20" t="n">
        <v>0</v>
      </c>
      <c r="W21" s="18" t="n">
        <v>1.77834062</v>
      </c>
      <c r="X21" s="20" t="n">
        <v>0.59885413</v>
      </c>
    </row>
    <row r="22" spans="1:24">
      <c r="A22" s="15" t="s">
        <v>364</v>
      </c>
      <c r="B22" s="17" t="n">
        <v>3667</v>
      </c>
      <c r="C22" s="18">
        <f>(3201.0/B22*100)</f>
        <v/>
      </c>
      <c r="D22" s="19" t="n">
        <v>466</v>
      </c>
      <c r="E22" s="18" t="n">
        <v>21.60678486</v>
      </c>
      <c r="F22" s="20" t="n">
        <v>1.63175877</v>
      </c>
      <c r="G22" s="18" t="n">
        <v>3.06615471</v>
      </c>
      <c r="H22" s="20" t="n">
        <v>0.70428159</v>
      </c>
      <c r="I22" s="18" t="n">
        <v>15.27974555</v>
      </c>
      <c r="J22" s="20" t="n">
        <v>1.54596845</v>
      </c>
      <c r="K22" s="18" t="n">
        <v>1.17635374</v>
      </c>
      <c r="L22" s="20" t="n">
        <v>0.5434415500000001</v>
      </c>
      <c r="M22" s="18" t="n">
        <v>39.97369188</v>
      </c>
      <c r="N22" s="20" t="n">
        <v>2.11816335</v>
      </c>
      <c r="O22" s="18" t="s">
        <v>349</v>
      </c>
      <c r="P22" s="20" t="s">
        <v>349</v>
      </c>
      <c r="Q22" s="18" t="n">
        <v>0.38617984</v>
      </c>
      <c r="R22" s="20" t="n">
        <v>0.27046995</v>
      </c>
      <c r="S22" s="18" t="n">
        <v>0.80186993</v>
      </c>
      <c r="T22" s="20" t="n">
        <v>0.55811461</v>
      </c>
      <c r="U22" s="18" t="n">
        <v>0</v>
      </c>
      <c r="V22" s="20" t="n">
        <v>0</v>
      </c>
      <c r="W22" s="18" t="n">
        <v>17.70921949</v>
      </c>
      <c r="X22" s="20" t="n">
        <v>2.21875816</v>
      </c>
    </row>
    <row r="23" spans="1:24">
      <c r="A23" s="15" t="s">
        <v>365</v>
      </c>
      <c r="B23" s="17" t="n">
        <v>5792</v>
      </c>
      <c r="C23" s="18">
        <f>(5050.0/B23*100)</f>
        <v/>
      </c>
      <c r="D23" s="19" t="n">
        <v>742</v>
      </c>
      <c r="E23" s="18" t="n">
        <v>14.83829776</v>
      </c>
      <c r="F23" s="20" t="n">
        <v>1.8666522</v>
      </c>
      <c r="G23" s="18" t="n">
        <v>6.92930578</v>
      </c>
      <c r="H23" s="20" t="n">
        <v>1.34702121</v>
      </c>
      <c r="I23" s="18" t="n">
        <v>5.17549423</v>
      </c>
      <c r="J23" s="20" t="n">
        <v>1.11326883</v>
      </c>
      <c r="K23" s="18" t="n">
        <v>2.76453046</v>
      </c>
      <c r="L23" s="20" t="n">
        <v>0.9516904899999999</v>
      </c>
      <c r="M23" s="18" t="n">
        <v>46.98878198</v>
      </c>
      <c r="N23" s="20" t="n">
        <v>2.34519483</v>
      </c>
      <c r="O23" s="18" t="s">
        <v>349</v>
      </c>
      <c r="P23" s="20" t="s">
        <v>349</v>
      </c>
      <c r="Q23" s="18" t="n">
        <v>0.6913554</v>
      </c>
      <c r="R23" s="20" t="n">
        <v>0.51043993</v>
      </c>
      <c r="S23" s="18" t="n">
        <v>0</v>
      </c>
      <c r="T23" s="20" t="n">
        <v>0</v>
      </c>
      <c r="U23" s="18" t="n">
        <v>0</v>
      </c>
      <c r="V23" s="20" t="n">
        <v>0</v>
      </c>
      <c r="W23" s="18" t="n">
        <v>22.61223438</v>
      </c>
      <c r="X23" s="20" t="n">
        <v>2.25735022</v>
      </c>
    </row>
    <row r="24" spans="1:24">
      <c r="A24" s="15" t="s">
        <v>366</v>
      </c>
      <c r="B24" s="17" t="n">
        <v>3309</v>
      </c>
      <c r="C24" s="18">
        <f>(2881.0/B24*100)</f>
        <v/>
      </c>
      <c r="D24" s="19" t="n">
        <v>428</v>
      </c>
      <c r="E24" s="18" t="n">
        <v>14.34963902</v>
      </c>
      <c r="F24" s="20" t="n">
        <v>1.51076872</v>
      </c>
      <c r="G24" s="18" t="n">
        <v>3.63201636</v>
      </c>
      <c r="H24" s="20" t="n">
        <v>0.8739678400000001</v>
      </c>
      <c r="I24" s="18" t="n">
        <v>13.62098672</v>
      </c>
      <c r="J24" s="20" t="n">
        <v>1.53259626</v>
      </c>
      <c r="K24" s="18" t="n">
        <v>1.42117292</v>
      </c>
      <c r="L24" s="20" t="n">
        <v>0.5852810899999999</v>
      </c>
      <c r="M24" s="18" t="n">
        <v>55.82944449</v>
      </c>
      <c r="N24" s="20" t="n">
        <v>2.51282378</v>
      </c>
      <c r="O24" s="18" t="s">
        <v>349</v>
      </c>
      <c r="P24" s="20" t="s">
        <v>349</v>
      </c>
      <c r="Q24" s="18" t="n">
        <v>0.2126946</v>
      </c>
      <c r="R24" s="20" t="n">
        <v>0.21206677</v>
      </c>
      <c r="S24" s="18" t="n">
        <v>0.22844891</v>
      </c>
      <c r="T24" s="20" t="n">
        <v>0.23069387</v>
      </c>
      <c r="U24" s="18" t="n">
        <v>0</v>
      </c>
      <c r="V24" s="20" t="n">
        <v>0</v>
      </c>
      <c r="W24" s="18" t="n">
        <v>10.70559699</v>
      </c>
      <c r="X24" s="20" t="n">
        <v>1.72224916</v>
      </c>
    </row>
    <row r="25" spans="1:24">
      <c r="A25" s="15" t="s">
        <v>367</v>
      </c>
      <c r="B25" s="17" t="n">
        <v>2669</v>
      </c>
      <c r="C25" s="18">
        <f>(2340.0/B25*100)</f>
        <v/>
      </c>
      <c r="D25" s="19" t="n">
        <v>329</v>
      </c>
      <c r="E25" s="18" t="n">
        <v>11.83043513</v>
      </c>
      <c r="F25" s="20" t="n">
        <v>1.70855283</v>
      </c>
      <c r="G25" s="18" t="n">
        <v>1.71532162</v>
      </c>
      <c r="H25" s="20" t="n">
        <v>0.70042589</v>
      </c>
      <c r="I25" s="18" t="n">
        <v>27.22094079</v>
      </c>
      <c r="J25" s="20" t="n">
        <v>2.24893543</v>
      </c>
      <c r="K25" s="18" t="n">
        <v>0.55744444</v>
      </c>
      <c r="L25" s="20" t="n">
        <v>0.39466385</v>
      </c>
      <c r="M25" s="18" t="n">
        <v>55.6316659</v>
      </c>
      <c r="N25" s="20" t="n">
        <v>2.80874789</v>
      </c>
      <c r="O25" s="18" t="s">
        <v>349</v>
      </c>
      <c r="P25" s="20" t="s">
        <v>349</v>
      </c>
      <c r="Q25" s="18" t="n">
        <v>0</v>
      </c>
      <c r="R25" s="20" t="n">
        <v>0</v>
      </c>
      <c r="S25" s="18" t="n">
        <v>0</v>
      </c>
      <c r="T25" s="20" t="n">
        <v>0</v>
      </c>
      <c r="U25" s="18" t="n">
        <v>0</v>
      </c>
      <c r="V25" s="20" t="n">
        <v>0</v>
      </c>
      <c r="W25" s="18" t="n">
        <v>3.04419212</v>
      </c>
      <c r="X25" s="20" t="n">
        <v>0.94921847</v>
      </c>
    </row>
    <row r="26" spans="1:24">
      <c r="A26" s="15" t="s">
        <v>368</v>
      </c>
      <c r="B26" s="17" t="n">
        <v>2419</v>
      </c>
      <c r="C26" s="18">
        <f>(2121.0/B26*100)</f>
        <v/>
      </c>
      <c r="D26" s="19" t="n">
        <v>298</v>
      </c>
      <c r="E26" s="18" t="n">
        <v>19.06917773</v>
      </c>
      <c r="F26" s="20" t="n">
        <v>2.32548863</v>
      </c>
      <c r="G26" s="18" t="n">
        <v>3.68429405</v>
      </c>
      <c r="H26" s="20" t="n">
        <v>1.21894031</v>
      </c>
      <c r="I26" s="18" t="n">
        <v>15.61384593</v>
      </c>
      <c r="J26" s="20" t="n">
        <v>2.31122346</v>
      </c>
      <c r="K26" s="18" t="n">
        <v>1.83899501</v>
      </c>
      <c r="L26" s="20" t="n">
        <v>0.76238608</v>
      </c>
      <c r="M26" s="18" t="n">
        <v>50.64636472</v>
      </c>
      <c r="N26" s="20" t="n">
        <v>2.64584847</v>
      </c>
      <c r="O26" s="18" t="s">
        <v>349</v>
      </c>
      <c r="P26" s="20" t="s">
        <v>349</v>
      </c>
      <c r="Q26" s="18" t="n">
        <v>0</v>
      </c>
      <c r="R26" s="20" t="n">
        <v>0</v>
      </c>
      <c r="S26" s="18" t="n">
        <v>0.58365165</v>
      </c>
      <c r="T26" s="20" t="n">
        <v>0.40655304</v>
      </c>
      <c r="U26" s="18" t="n">
        <v>0</v>
      </c>
      <c r="V26" s="20" t="n">
        <v>0</v>
      </c>
      <c r="W26" s="18" t="n">
        <v>8.56367092</v>
      </c>
      <c r="X26" s="20" t="n">
        <v>1.67805357</v>
      </c>
    </row>
    <row r="27" spans="1:24">
      <c r="A27" s="15" t="s">
        <v>369</v>
      </c>
      <c r="B27" s="17" t="n">
        <v>2683</v>
      </c>
      <c r="C27" s="18">
        <f>(2364.0/B27*100)</f>
        <v/>
      </c>
      <c r="D27" s="19" t="n">
        <v>319</v>
      </c>
      <c r="E27" s="18" t="n">
        <v>13.62995437</v>
      </c>
      <c r="F27" s="20" t="n">
        <v>2.01140028</v>
      </c>
      <c r="G27" s="18" t="n">
        <v>7.80504703</v>
      </c>
      <c r="H27" s="20" t="n">
        <v>1.63883356</v>
      </c>
      <c r="I27" s="18" t="n">
        <v>9.62805548</v>
      </c>
      <c r="J27" s="20" t="n">
        <v>1.66598773</v>
      </c>
      <c r="K27" s="18" t="n">
        <v>2.83089845</v>
      </c>
      <c r="L27" s="20" t="n">
        <v>0.8322549299999999</v>
      </c>
      <c r="M27" s="18" t="n">
        <v>53.861523</v>
      </c>
      <c r="N27" s="20" t="n">
        <v>2.75186428</v>
      </c>
      <c r="O27" s="18" t="s">
        <v>349</v>
      </c>
      <c r="P27" s="20" t="s">
        <v>349</v>
      </c>
      <c r="Q27" s="18" t="n">
        <v>0</v>
      </c>
      <c r="R27" s="20" t="n">
        <v>0</v>
      </c>
      <c r="S27" s="18" t="n">
        <v>0</v>
      </c>
      <c r="T27" s="20" t="n">
        <v>0</v>
      </c>
      <c r="U27" s="18" t="n">
        <v>0</v>
      </c>
      <c r="V27" s="20" t="n">
        <v>0</v>
      </c>
      <c r="W27" s="18" t="n">
        <v>12.24452168</v>
      </c>
      <c r="X27" s="20" t="n">
        <v>1.90871875</v>
      </c>
    </row>
    <row r="28" spans="1:24">
      <c r="A28" s="15" t="s">
        <v>370</v>
      </c>
      <c r="B28" s="17" t="n">
        <v>3803</v>
      </c>
      <c r="C28" s="18">
        <f>(3353.0/B28*100)</f>
        <v/>
      </c>
      <c r="D28" s="19" t="n">
        <v>450</v>
      </c>
      <c r="E28" s="18" t="n">
        <v>39.20022325</v>
      </c>
      <c r="F28" s="20" t="n">
        <v>2.69277682</v>
      </c>
      <c r="G28" s="18" t="n">
        <v>7.53075181</v>
      </c>
      <c r="H28" s="20" t="n">
        <v>1.60792667</v>
      </c>
      <c r="I28" s="18" t="n">
        <v>8.203166919999999</v>
      </c>
      <c r="J28" s="20" t="n">
        <v>1.39091939</v>
      </c>
      <c r="K28" s="18" t="n">
        <v>1.80925016</v>
      </c>
      <c r="L28" s="20" t="n">
        <v>0.6553673</v>
      </c>
      <c r="M28" s="18" t="n">
        <v>26.18004555</v>
      </c>
      <c r="N28" s="20" t="n">
        <v>2.43304754</v>
      </c>
      <c r="O28" s="18" t="s">
        <v>349</v>
      </c>
      <c r="P28" s="20" t="s">
        <v>349</v>
      </c>
      <c r="Q28" s="18" t="n">
        <v>0</v>
      </c>
      <c r="R28" s="20" t="n">
        <v>0</v>
      </c>
      <c r="S28" s="18" t="n">
        <v>0</v>
      </c>
      <c r="T28" s="20" t="n">
        <v>0</v>
      </c>
      <c r="U28" s="18" t="n">
        <v>0</v>
      </c>
      <c r="V28" s="20" t="n">
        <v>0</v>
      </c>
      <c r="W28" s="18" t="n">
        <v>17.07656232</v>
      </c>
      <c r="X28" s="20" t="n">
        <v>1.97169247</v>
      </c>
    </row>
    <row r="29" spans="1:24">
      <c r="A29" s="15" t="s">
        <v>371</v>
      </c>
      <c r="B29" s="17" t="n">
        <v>2700</v>
      </c>
      <c r="C29" s="18">
        <f>(2388.0/B29*100)</f>
        <v/>
      </c>
      <c r="D29" s="19" t="n">
        <v>312</v>
      </c>
      <c r="E29" s="18" t="n">
        <v>12.16353098</v>
      </c>
      <c r="F29" s="20" t="n">
        <v>1.60650896</v>
      </c>
      <c r="G29" s="18" t="n">
        <v>4.39966903</v>
      </c>
      <c r="H29" s="20" t="n">
        <v>1.21269371</v>
      </c>
      <c r="I29" s="18" t="n">
        <v>9.661738980000001</v>
      </c>
      <c r="J29" s="20" t="n">
        <v>1.56518913</v>
      </c>
      <c r="K29" s="18" t="n">
        <v>1.159046</v>
      </c>
      <c r="L29" s="20" t="n">
        <v>0.82677836</v>
      </c>
      <c r="M29" s="18" t="n">
        <v>67.96638135000001</v>
      </c>
      <c r="N29" s="20" t="n">
        <v>2.59734267</v>
      </c>
      <c r="O29" s="18" t="s">
        <v>349</v>
      </c>
      <c r="P29" s="20" t="s">
        <v>349</v>
      </c>
      <c r="Q29" s="18" t="n">
        <v>0</v>
      </c>
      <c r="R29" s="20" t="n">
        <v>0</v>
      </c>
      <c r="S29" s="18" t="n">
        <v>0.59967844</v>
      </c>
      <c r="T29" s="20" t="n">
        <v>0.43965108</v>
      </c>
      <c r="U29" s="18" t="n">
        <v>0</v>
      </c>
      <c r="V29" s="20" t="n">
        <v>0</v>
      </c>
      <c r="W29" s="18" t="n">
        <v>4.04995522</v>
      </c>
      <c r="X29" s="20" t="n">
        <v>1.38053922</v>
      </c>
    </row>
    <row r="30" spans="1:24">
      <c r="A30" s="15" t="s">
        <v>372</v>
      </c>
      <c r="B30" s="17" t="n">
        <v>2257</v>
      </c>
      <c r="C30" s="18">
        <f>(1966.0/B30*100)</f>
        <v/>
      </c>
      <c r="D30" s="19" t="n">
        <v>291</v>
      </c>
      <c r="E30" s="18" t="n">
        <v>17.45203135</v>
      </c>
      <c r="F30" s="20" t="n">
        <v>2.45596454</v>
      </c>
      <c r="G30" s="18" t="n">
        <v>4.22257854</v>
      </c>
      <c r="H30" s="20" t="n">
        <v>1.19971563</v>
      </c>
      <c r="I30" s="18" t="n">
        <v>7.64590777</v>
      </c>
      <c r="J30" s="20" t="n">
        <v>1.42563109</v>
      </c>
      <c r="K30" s="18" t="n">
        <v>1.3814051</v>
      </c>
      <c r="L30" s="20" t="n">
        <v>0.70053143</v>
      </c>
      <c r="M30" s="18" t="n">
        <v>56.39679767</v>
      </c>
      <c r="N30" s="20" t="n">
        <v>2.89243344</v>
      </c>
      <c r="O30" s="18" t="s">
        <v>349</v>
      </c>
      <c r="P30" s="20" t="s">
        <v>349</v>
      </c>
      <c r="Q30" s="18" t="n">
        <v>0.32504146</v>
      </c>
      <c r="R30" s="20" t="n">
        <v>0.29006415</v>
      </c>
      <c r="S30" s="18" t="n">
        <v>0.31677193</v>
      </c>
      <c r="T30" s="20" t="n">
        <v>0.3165596</v>
      </c>
      <c r="U30" s="18" t="n">
        <v>0</v>
      </c>
      <c r="V30" s="20" t="n">
        <v>0</v>
      </c>
      <c r="W30" s="18" t="n">
        <v>12.25946619</v>
      </c>
      <c r="X30" s="20" t="n">
        <v>1.82335668</v>
      </c>
    </row>
    <row r="31" spans="1:24">
      <c r="A31" s="15" t="s">
        <v>373</v>
      </c>
      <c r="B31" s="17" t="n">
        <v>2706</v>
      </c>
      <c r="C31" s="18">
        <f>(2370.0/B31*100)</f>
        <v/>
      </c>
      <c r="D31" s="19" t="n">
        <v>336</v>
      </c>
      <c r="E31" s="18" t="n">
        <v>14.1173276</v>
      </c>
      <c r="F31" s="20" t="n">
        <v>1.82829892</v>
      </c>
      <c r="G31" s="18" t="n">
        <v>4.57374015</v>
      </c>
      <c r="H31" s="20" t="n">
        <v>1.05095969</v>
      </c>
      <c r="I31" s="18" t="n">
        <v>9.494042990000001</v>
      </c>
      <c r="J31" s="20" t="n">
        <v>1.65496344</v>
      </c>
      <c r="K31" s="18" t="n">
        <v>1.42901871</v>
      </c>
      <c r="L31" s="20" t="n">
        <v>0.63891424</v>
      </c>
      <c r="M31" s="18" t="n">
        <v>63.8744629</v>
      </c>
      <c r="N31" s="20" t="n">
        <v>2.55393105</v>
      </c>
      <c r="O31" s="18" t="s">
        <v>349</v>
      </c>
      <c r="P31" s="20" t="s">
        <v>349</v>
      </c>
      <c r="Q31" s="18" t="n">
        <v>0.64138202</v>
      </c>
      <c r="R31" s="20" t="n">
        <v>0.44481297</v>
      </c>
      <c r="S31" s="18" t="n">
        <v>0</v>
      </c>
      <c r="T31" s="20" t="n">
        <v>0</v>
      </c>
      <c r="U31" s="18" t="n">
        <v>0</v>
      </c>
      <c r="V31" s="20" t="n">
        <v>0</v>
      </c>
      <c r="W31" s="18" t="n">
        <v>5.87002564</v>
      </c>
      <c r="X31" s="20" t="n">
        <v>1.40590397</v>
      </c>
    </row>
    <row r="32" spans="1:24">
      <c r="A32" s="15" t="s">
        <v>374</v>
      </c>
      <c r="B32" s="17" t="n">
        <v>2209</v>
      </c>
      <c r="C32" s="18">
        <f>(1856.0/B32*100)</f>
        <v/>
      </c>
      <c r="D32" s="19" t="n">
        <v>353</v>
      </c>
      <c r="E32" s="18" t="n">
        <v>17.51120499</v>
      </c>
      <c r="F32" s="20" t="n">
        <v>1.95702824</v>
      </c>
      <c r="G32" s="18" t="n">
        <v>3.41426601</v>
      </c>
      <c r="H32" s="20" t="n">
        <v>1.00151888</v>
      </c>
      <c r="I32" s="18" t="n">
        <v>15.82797217</v>
      </c>
      <c r="J32" s="20" t="n">
        <v>2.16482973</v>
      </c>
      <c r="K32" s="18" t="n">
        <v>2.80582379</v>
      </c>
      <c r="L32" s="20" t="n">
        <v>0.78220805</v>
      </c>
      <c r="M32" s="18" t="n">
        <v>54.24146942</v>
      </c>
      <c r="N32" s="20" t="n">
        <v>2.66778364</v>
      </c>
      <c r="O32" s="18" t="s">
        <v>349</v>
      </c>
      <c r="P32" s="20" t="s">
        <v>349</v>
      </c>
      <c r="Q32" s="18" t="n">
        <v>0</v>
      </c>
      <c r="R32" s="20" t="n">
        <v>0</v>
      </c>
      <c r="S32" s="18" t="n">
        <v>0.2700637</v>
      </c>
      <c r="T32" s="20" t="n">
        <v>0.26302882</v>
      </c>
      <c r="U32" s="18" t="n">
        <v>0</v>
      </c>
      <c r="V32" s="20" t="n">
        <v>0</v>
      </c>
      <c r="W32" s="18" t="n">
        <v>5.92919992</v>
      </c>
      <c r="X32" s="20" t="n">
        <v>1.35448006</v>
      </c>
    </row>
    <row r="33" spans="1:24">
      <c r="A33" s="15" t="s">
        <v>375</v>
      </c>
      <c r="B33" s="17" t="n">
        <v>3651</v>
      </c>
      <c r="C33" s="18">
        <f>(3207.0/B33*100)</f>
        <v/>
      </c>
      <c r="D33" s="19" t="n">
        <v>444</v>
      </c>
      <c r="E33" s="18" t="n">
        <v>16.38372902</v>
      </c>
      <c r="F33" s="20" t="n">
        <v>2.09335463</v>
      </c>
      <c r="G33" s="18" t="n">
        <v>4.66152888</v>
      </c>
      <c r="H33" s="20" t="n">
        <v>1.10819208</v>
      </c>
      <c r="I33" s="18" t="n">
        <v>9.004644430000001</v>
      </c>
      <c r="J33" s="20" t="n">
        <v>1.30400337</v>
      </c>
      <c r="K33" s="18" t="n">
        <v>0.94511561</v>
      </c>
      <c r="L33" s="20" t="n">
        <v>0.70230143</v>
      </c>
      <c r="M33" s="18" t="n">
        <v>53.76324128</v>
      </c>
      <c r="N33" s="20" t="n">
        <v>2.95553411</v>
      </c>
      <c r="O33" s="18" t="s">
        <v>349</v>
      </c>
      <c r="P33" s="20" t="s">
        <v>349</v>
      </c>
      <c r="Q33" s="18" t="n">
        <v>0</v>
      </c>
      <c r="R33" s="20" t="n">
        <v>0</v>
      </c>
      <c r="S33" s="18" t="n">
        <v>0</v>
      </c>
      <c r="T33" s="20" t="n">
        <v>0</v>
      </c>
      <c r="U33" s="18" t="n">
        <v>0</v>
      </c>
      <c r="V33" s="20" t="n">
        <v>0</v>
      </c>
      <c r="W33" s="18" t="n">
        <v>15.24174078</v>
      </c>
      <c r="X33" s="20" t="n">
        <v>2.2387437</v>
      </c>
    </row>
    <row r="34" spans="1:24">
      <c r="A34" s="15" t="s">
        <v>376</v>
      </c>
      <c r="B34" s="17" t="n">
        <v>3035</v>
      </c>
      <c r="C34" s="18">
        <f>(2673.0/B34*100)</f>
        <v/>
      </c>
      <c r="D34" s="19" t="n">
        <v>362</v>
      </c>
      <c r="E34" s="18" t="n">
        <v>24.43615415</v>
      </c>
      <c r="F34" s="20" t="n">
        <v>2.04723845</v>
      </c>
      <c r="G34" s="18" t="n">
        <v>1.98646734</v>
      </c>
      <c r="H34" s="20" t="n">
        <v>0.81067016</v>
      </c>
      <c r="I34" s="18" t="n">
        <v>10.03055924</v>
      </c>
      <c r="J34" s="20" t="n">
        <v>1.57545551</v>
      </c>
      <c r="K34" s="18" t="n">
        <v>1.29362446</v>
      </c>
      <c r="L34" s="20" t="n">
        <v>0.66315507</v>
      </c>
      <c r="M34" s="18" t="n">
        <v>48.34690954</v>
      </c>
      <c r="N34" s="20" t="n">
        <v>2.81519464</v>
      </c>
      <c r="O34" s="18" t="s">
        <v>349</v>
      </c>
      <c r="P34" s="20" t="s">
        <v>349</v>
      </c>
      <c r="Q34" s="18" t="n">
        <v>0</v>
      </c>
      <c r="R34" s="20" t="n">
        <v>0</v>
      </c>
      <c r="S34" s="18" t="n">
        <v>0</v>
      </c>
      <c r="T34" s="20" t="n">
        <v>0</v>
      </c>
      <c r="U34" s="18" t="n">
        <v>0</v>
      </c>
      <c r="V34" s="20" t="n">
        <v>0</v>
      </c>
      <c r="W34" s="18" t="n">
        <v>13.90628527</v>
      </c>
      <c r="X34" s="20" t="n">
        <v>2.38375402</v>
      </c>
    </row>
    <row r="35" spans="1:24">
      <c r="A35" s="15" t="s">
        <v>377</v>
      </c>
      <c r="B35" s="17" t="n">
        <v>2901</v>
      </c>
      <c r="C35" s="18">
        <f>(2545.0/B35*100)</f>
        <v/>
      </c>
      <c r="D35" s="19" t="n">
        <v>356</v>
      </c>
      <c r="E35" s="18" t="n">
        <v>16.69222088</v>
      </c>
      <c r="F35" s="20" t="n">
        <v>2.78761756</v>
      </c>
      <c r="G35" s="18" t="n">
        <v>3.65015353</v>
      </c>
      <c r="H35" s="20" t="n">
        <v>1.21825093</v>
      </c>
      <c r="I35" s="18" t="n">
        <v>11.3702545</v>
      </c>
      <c r="J35" s="20" t="n">
        <v>1.71458694</v>
      </c>
      <c r="K35" s="18" t="n">
        <v>4.99219535</v>
      </c>
      <c r="L35" s="20" t="n">
        <v>1.08357801</v>
      </c>
      <c r="M35" s="18" t="n">
        <v>56.11333988</v>
      </c>
      <c r="N35" s="20" t="n">
        <v>3.48938411</v>
      </c>
      <c r="O35" s="18" t="s">
        <v>349</v>
      </c>
      <c r="P35" s="20" t="s">
        <v>349</v>
      </c>
      <c r="Q35" s="18" t="n">
        <v>0</v>
      </c>
      <c r="R35" s="20" t="n">
        <v>0</v>
      </c>
      <c r="S35" s="18" t="n">
        <v>0</v>
      </c>
      <c r="T35" s="20" t="n">
        <v>0</v>
      </c>
      <c r="U35" s="18" t="n">
        <v>0</v>
      </c>
      <c r="V35" s="20" t="n">
        <v>0</v>
      </c>
      <c r="W35" s="18" t="n">
        <v>7.18183585</v>
      </c>
      <c r="X35" s="20" t="n">
        <v>1.73568502</v>
      </c>
    </row>
    <row r="36" spans="1:24">
      <c r="A36" s="15" t="s">
        <v>378</v>
      </c>
      <c r="B36" s="17" t="n">
        <v>3404</v>
      </c>
      <c r="C36" s="18">
        <f>(3000.0/B36*100)</f>
        <v/>
      </c>
      <c r="D36" s="19" t="n">
        <v>404</v>
      </c>
      <c r="E36" s="18" t="n">
        <v>16.4848041</v>
      </c>
      <c r="F36" s="20" t="n">
        <v>2.00992583</v>
      </c>
      <c r="G36" s="18" t="n">
        <v>8.92260527</v>
      </c>
      <c r="H36" s="20" t="n">
        <v>1.5903443</v>
      </c>
      <c r="I36" s="18" t="n">
        <v>11.51742402</v>
      </c>
      <c r="J36" s="20" t="n">
        <v>1.8087186</v>
      </c>
      <c r="K36" s="18" t="n">
        <v>3.27357855</v>
      </c>
      <c r="L36" s="20" t="n">
        <v>0.86112165</v>
      </c>
      <c r="M36" s="18" t="n">
        <v>46.34181015</v>
      </c>
      <c r="N36" s="20" t="n">
        <v>2.73442497</v>
      </c>
      <c r="O36" s="18" t="s">
        <v>349</v>
      </c>
      <c r="P36" s="20" t="s">
        <v>349</v>
      </c>
      <c r="Q36" s="18" t="n">
        <v>0.37611293</v>
      </c>
      <c r="R36" s="20" t="n">
        <v>0.38514868</v>
      </c>
      <c r="S36" s="18" t="n">
        <v>0</v>
      </c>
      <c r="T36" s="20" t="n">
        <v>0</v>
      </c>
      <c r="U36" s="18" t="n">
        <v>0</v>
      </c>
      <c r="V36" s="20" t="n">
        <v>0</v>
      </c>
      <c r="W36" s="18" t="n">
        <v>13.08366498</v>
      </c>
      <c r="X36" s="20" t="n">
        <v>1.86111639</v>
      </c>
    </row>
    <row r="37" spans="1:24">
      <c r="A37" s="15" t="s">
        <v>379</v>
      </c>
      <c r="B37" s="17" t="n">
        <v>2731</v>
      </c>
      <c r="C37" s="18">
        <f>(2417.0/B37*100)</f>
        <v/>
      </c>
      <c r="D37" s="19" t="n">
        <v>314</v>
      </c>
      <c r="E37" s="18" t="n">
        <v>16.09513774</v>
      </c>
      <c r="F37" s="20" t="n">
        <v>2.09655428</v>
      </c>
      <c r="G37" s="18" t="n">
        <v>6.46911805</v>
      </c>
      <c r="H37" s="20" t="n">
        <v>1.76007811</v>
      </c>
      <c r="I37" s="18" t="n">
        <v>7.08753787</v>
      </c>
      <c r="J37" s="20" t="n">
        <v>1.59602852</v>
      </c>
      <c r="K37" s="18" t="n">
        <v>0.63433071</v>
      </c>
      <c r="L37" s="20" t="n">
        <v>0.45270401</v>
      </c>
      <c r="M37" s="18" t="n">
        <v>55.54901874</v>
      </c>
      <c r="N37" s="20" t="n">
        <v>3.33625064</v>
      </c>
      <c r="O37" s="18" t="s">
        <v>349</v>
      </c>
      <c r="P37" s="20" t="s">
        <v>349</v>
      </c>
      <c r="Q37" s="18" t="n">
        <v>0.95885104</v>
      </c>
      <c r="R37" s="20" t="n">
        <v>0.5449254</v>
      </c>
      <c r="S37" s="18" t="n">
        <v>0</v>
      </c>
      <c r="T37" s="20" t="n">
        <v>0</v>
      </c>
      <c r="U37" s="18" t="n">
        <v>0</v>
      </c>
      <c r="V37" s="20" t="n">
        <v>0</v>
      </c>
      <c r="W37" s="18" t="n">
        <v>13.20600584</v>
      </c>
      <c r="X37" s="20" t="n">
        <v>2.12177778</v>
      </c>
    </row>
    <row r="38" spans="1:24">
      <c r="A38" s="15" t="s">
        <v>380</v>
      </c>
      <c r="B38" s="17" t="n">
        <v>2807</v>
      </c>
      <c r="C38" s="18">
        <f>(2341.0/B38*100)</f>
        <v/>
      </c>
      <c r="D38" s="19" t="n">
        <v>466</v>
      </c>
      <c r="E38" s="18" t="n">
        <v>12.59498569</v>
      </c>
      <c r="F38" s="20" t="n">
        <v>2.06324697</v>
      </c>
      <c r="G38" s="18" t="n">
        <v>4.9989952</v>
      </c>
      <c r="H38" s="20" t="n">
        <v>1.11080288</v>
      </c>
      <c r="I38" s="18" t="n">
        <v>5.55707744</v>
      </c>
      <c r="J38" s="20" t="n">
        <v>1.1927344</v>
      </c>
      <c r="K38" s="18" t="n">
        <v>1.47942403</v>
      </c>
      <c r="L38" s="20" t="n">
        <v>0.57717615</v>
      </c>
      <c r="M38" s="18" t="n">
        <v>62.11201612</v>
      </c>
      <c r="N38" s="20" t="n">
        <v>2.75555364</v>
      </c>
      <c r="O38" s="18" t="s">
        <v>349</v>
      </c>
      <c r="P38" s="20" t="s">
        <v>349</v>
      </c>
      <c r="Q38" s="18" t="n">
        <v>0.70542385</v>
      </c>
      <c r="R38" s="20" t="n">
        <v>0.40436001</v>
      </c>
      <c r="S38" s="18" t="n">
        <v>0</v>
      </c>
      <c r="T38" s="20" t="n">
        <v>0</v>
      </c>
      <c r="U38" s="18" t="n">
        <v>0</v>
      </c>
      <c r="V38" s="20" t="n">
        <v>0</v>
      </c>
      <c r="W38" s="18" t="n">
        <v>12.55207767</v>
      </c>
      <c r="X38" s="20" t="n">
        <v>2.00574419</v>
      </c>
    </row>
    <row r="39" spans="1:24">
      <c r="A39" s="15" t="s">
        <v>381</v>
      </c>
      <c r="B39" s="17" t="n">
        <v>2938</v>
      </c>
      <c r="C39" s="18">
        <f>(2578.0/B39*100)</f>
        <v/>
      </c>
      <c r="D39" s="19" t="n">
        <v>360</v>
      </c>
      <c r="E39" s="18" t="n">
        <v>31.74466482</v>
      </c>
      <c r="F39" s="20" t="n">
        <v>2.91843348</v>
      </c>
      <c r="G39" s="18" t="n">
        <v>5.36548374</v>
      </c>
      <c r="H39" s="20" t="n">
        <v>1.394888</v>
      </c>
      <c r="I39" s="18" t="n">
        <v>14.4023031</v>
      </c>
      <c r="J39" s="20" t="n">
        <v>1.87655907</v>
      </c>
      <c r="K39" s="18" t="n">
        <v>5.00903628</v>
      </c>
      <c r="L39" s="20" t="n">
        <v>1.37829347</v>
      </c>
      <c r="M39" s="18" t="n">
        <v>19.81706803</v>
      </c>
      <c r="N39" s="20" t="n">
        <v>2.23227049</v>
      </c>
      <c r="O39" s="18" t="s">
        <v>349</v>
      </c>
      <c r="P39" s="20" t="s">
        <v>349</v>
      </c>
      <c r="Q39" s="18" t="n">
        <v>0.59949208</v>
      </c>
      <c r="R39" s="20" t="n">
        <v>0.48145623</v>
      </c>
      <c r="S39" s="18" t="n">
        <v>0</v>
      </c>
      <c r="T39" s="20" t="n">
        <v>0</v>
      </c>
      <c r="U39" s="18" t="n">
        <v>0</v>
      </c>
      <c r="V39" s="20" t="n">
        <v>0</v>
      </c>
      <c r="W39" s="18" t="n">
        <v>23.06195195</v>
      </c>
      <c r="X39" s="20" t="n">
        <v>2.49355287</v>
      </c>
    </row>
    <row r="40" spans="1:24">
      <c r="A40" s="15" t="s">
        <v>382</v>
      </c>
      <c r="B40" s="17" t="n">
        <v>6922</v>
      </c>
      <c r="C40" s="18">
        <f>(6076.0/B40*100)</f>
        <v/>
      </c>
      <c r="D40" s="19" t="n">
        <v>846</v>
      </c>
      <c r="E40" s="18" t="n">
        <v>19.60463028</v>
      </c>
      <c r="F40" s="20" t="n">
        <v>1.6584455</v>
      </c>
      <c r="G40" s="18" t="n">
        <v>2.01608764</v>
      </c>
      <c r="H40" s="20" t="n">
        <v>0.7226903099999999</v>
      </c>
      <c r="I40" s="18" t="n">
        <v>13.84770678</v>
      </c>
      <c r="J40" s="20" t="n">
        <v>1.75249296</v>
      </c>
      <c r="K40" s="18" t="n">
        <v>2.85096277</v>
      </c>
      <c r="L40" s="20" t="n">
        <v>0.88199987</v>
      </c>
      <c r="M40" s="18" t="n">
        <v>57.083511</v>
      </c>
      <c r="N40" s="20" t="n">
        <v>2.21800101</v>
      </c>
      <c r="O40" s="18" t="s">
        <v>349</v>
      </c>
      <c r="P40" s="20" t="s">
        <v>349</v>
      </c>
      <c r="Q40" s="18" t="n">
        <v>0.02984365</v>
      </c>
      <c r="R40" s="20" t="n">
        <v>0.03589504</v>
      </c>
      <c r="S40" s="18" t="n">
        <v>0</v>
      </c>
      <c r="T40" s="20" t="n">
        <v>0</v>
      </c>
      <c r="U40" s="18" t="n">
        <v>0</v>
      </c>
      <c r="V40" s="20" t="n">
        <v>0</v>
      </c>
      <c r="W40" s="18" t="n">
        <v>4.56725789</v>
      </c>
      <c r="X40" s="20" t="n">
        <v>0.8846331</v>
      </c>
    </row>
    <row r="41" spans="1:24">
      <c r="A41" s="15" t="s">
        <v>383</v>
      </c>
      <c r="B41" s="17" t="n">
        <v>2854</v>
      </c>
      <c r="C41" s="18">
        <f>(2508.0/B41*100)</f>
        <v/>
      </c>
      <c r="D41" s="19" t="n">
        <v>346</v>
      </c>
      <c r="E41" s="18" t="n">
        <v>38.31771518</v>
      </c>
      <c r="F41" s="20" t="n">
        <v>3.10172356</v>
      </c>
      <c r="G41" s="18" t="n">
        <v>6.50800637</v>
      </c>
      <c r="H41" s="20" t="n">
        <v>1.22142371</v>
      </c>
      <c r="I41" s="18" t="n">
        <v>10.21012625</v>
      </c>
      <c r="J41" s="20" t="n">
        <v>2.01172209</v>
      </c>
      <c r="K41" s="18" t="n">
        <v>0.79664462</v>
      </c>
      <c r="L41" s="20" t="n">
        <v>0.58534656</v>
      </c>
      <c r="M41" s="18" t="n">
        <v>40.34950318</v>
      </c>
      <c r="N41" s="20" t="n">
        <v>2.61268659</v>
      </c>
      <c r="O41" s="18" t="s">
        <v>349</v>
      </c>
      <c r="P41" s="20" t="s">
        <v>349</v>
      </c>
      <c r="Q41" s="18" t="n">
        <v>0</v>
      </c>
      <c r="R41" s="20" t="n">
        <v>0</v>
      </c>
      <c r="S41" s="18" t="n">
        <v>0</v>
      </c>
      <c r="T41" s="20" t="n">
        <v>0</v>
      </c>
      <c r="U41" s="18" t="n">
        <v>0</v>
      </c>
      <c r="V41" s="20" t="n">
        <v>0</v>
      </c>
      <c r="W41" s="18" t="n">
        <v>3.81800439</v>
      </c>
      <c r="X41" s="20" t="n">
        <v>0.99911177</v>
      </c>
    </row>
    <row r="42" spans="1:24">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c r="U44" s="18" t="s">
        <v>349</v>
      </c>
      <c r="V44" s="20" t="s">
        <v>349</v>
      </c>
      <c r="W44" s="18" t="s">
        <v>349</v>
      </c>
      <c r="X44" s="20" t="s">
        <v>349</v>
      </c>
    </row>
    <row r="45" spans="1:24">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c r="W45" s="18" t="s">
        <v>349</v>
      </c>
      <c r="X45" s="20" t="s">
        <v>349</v>
      </c>
    </row>
    <row r="46" spans="1:24">
      <c r="A46" s="15" t="s">
        <v>388</v>
      </c>
      <c r="B46" s="17" t="n">
        <v>12073</v>
      </c>
      <c r="C46" s="18">
        <f>(10745.0/B46*100)</f>
        <v/>
      </c>
      <c r="D46" s="19" t="n">
        <v>1328</v>
      </c>
      <c r="E46" s="18" t="n">
        <v>40.58825949</v>
      </c>
      <c r="F46" s="20" t="n">
        <v>1.65040734</v>
      </c>
      <c r="G46" s="18" t="n">
        <v>4.07285716</v>
      </c>
      <c r="H46" s="20" t="n">
        <v>0.66206021</v>
      </c>
      <c r="I46" s="18" t="n">
        <v>2.99700992</v>
      </c>
      <c r="J46" s="20" t="n">
        <v>0.5765134200000001</v>
      </c>
      <c r="K46" s="18" t="n">
        <v>0.64299792</v>
      </c>
      <c r="L46" s="20" t="n">
        <v>0.26907018</v>
      </c>
      <c r="M46" s="18" t="n">
        <v>15.30630368</v>
      </c>
      <c r="N46" s="20" t="n">
        <v>1.55463601</v>
      </c>
      <c r="O46" s="18" t="s">
        <v>349</v>
      </c>
      <c r="P46" s="20" t="s">
        <v>349</v>
      </c>
      <c r="Q46" s="18" t="n">
        <v>0.74571753</v>
      </c>
      <c r="R46" s="20" t="n">
        <v>0.28327528</v>
      </c>
      <c r="S46" s="18" t="n">
        <v>0.2142483</v>
      </c>
      <c r="T46" s="20" t="n">
        <v>0.18462805</v>
      </c>
      <c r="U46" s="18" t="n">
        <v>0</v>
      </c>
      <c r="V46" s="20" t="n">
        <v>0</v>
      </c>
      <c r="W46" s="18" t="n">
        <v>35.43260599</v>
      </c>
      <c r="X46" s="20" t="n">
        <v>1.66322668</v>
      </c>
    </row>
    <row r="47" spans="1:24">
      <c r="A47" s="15" t="s">
        <v>389</v>
      </c>
      <c r="B47" s="17" t="n">
        <v>2823</v>
      </c>
      <c r="C47" s="18">
        <f>(2483.0/B47*100)</f>
        <v/>
      </c>
      <c r="D47" s="19" t="n">
        <v>340</v>
      </c>
      <c r="E47" s="18" t="n">
        <v>22.178665</v>
      </c>
      <c r="F47" s="20" t="n">
        <v>2.00347799</v>
      </c>
      <c r="G47" s="18" t="n">
        <v>14.12309129</v>
      </c>
      <c r="H47" s="20" t="n">
        <v>1.69168363</v>
      </c>
      <c r="I47" s="18" t="n">
        <v>3.99105127</v>
      </c>
      <c r="J47" s="20" t="n">
        <v>0.87597441</v>
      </c>
      <c r="K47" s="18" t="n">
        <v>1.97293699</v>
      </c>
      <c r="L47" s="20" t="n">
        <v>0.84824956</v>
      </c>
      <c r="M47" s="18" t="n">
        <v>31.57427936</v>
      </c>
      <c r="N47" s="20" t="n">
        <v>2.60714972</v>
      </c>
      <c r="O47" s="18" t="s">
        <v>349</v>
      </c>
      <c r="P47" s="20" t="s">
        <v>349</v>
      </c>
      <c r="Q47" s="18" t="n">
        <v>0.27534049</v>
      </c>
      <c r="R47" s="20" t="n">
        <v>0.27429543</v>
      </c>
      <c r="S47" s="18" t="n">
        <v>0</v>
      </c>
      <c r="T47" s="20" t="n">
        <v>0</v>
      </c>
      <c r="U47" s="18" t="n">
        <v>0</v>
      </c>
      <c r="V47" s="20" t="n">
        <v>0</v>
      </c>
      <c r="W47" s="18" t="n">
        <v>25.88463559</v>
      </c>
      <c r="X47" s="20" t="n">
        <v>2.10802589</v>
      </c>
    </row>
    <row r="48" spans="1:24">
      <c r="A48" s="15" t="s">
        <v>390</v>
      </c>
      <c r="B48" s="17" t="n">
        <v>4682</v>
      </c>
      <c r="C48" s="18">
        <f>(4099.0/B48*100)</f>
        <v/>
      </c>
      <c r="D48" s="19" t="n">
        <v>583</v>
      </c>
      <c r="E48" s="18" t="n">
        <v>18.9165848</v>
      </c>
      <c r="F48" s="20" t="n">
        <v>2.03289341</v>
      </c>
      <c r="G48" s="18" t="n">
        <v>3.8963725</v>
      </c>
      <c r="H48" s="20" t="n">
        <v>1.0225143</v>
      </c>
      <c r="I48" s="18" t="n">
        <v>7.95096905</v>
      </c>
      <c r="J48" s="20" t="n">
        <v>1.26817238</v>
      </c>
      <c r="K48" s="18" t="n">
        <v>2.41995352</v>
      </c>
      <c r="L48" s="20" t="n">
        <v>0.9771169200000001</v>
      </c>
      <c r="M48" s="18" t="n">
        <v>61.69314349</v>
      </c>
      <c r="N48" s="20" t="n">
        <v>2.39799689</v>
      </c>
      <c r="O48" s="18" t="s">
        <v>349</v>
      </c>
      <c r="P48" s="20" t="s">
        <v>349</v>
      </c>
      <c r="Q48" s="18" t="n">
        <v>0</v>
      </c>
      <c r="R48" s="20" t="n">
        <v>0</v>
      </c>
      <c r="S48" s="18" t="n">
        <v>0</v>
      </c>
      <c r="T48" s="20" t="n">
        <v>0</v>
      </c>
      <c r="U48" s="18" t="n">
        <v>0</v>
      </c>
      <c r="V48" s="20" t="n">
        <v>0</v>
      </c>
      <c r="W48" s="18" t="n">
        <v>5.12297664</v>
      </c>
      <c r="X48" s="20" t="n">
        <v>1.14685758</v>
      </c>
    </row>
    <row r="49" spans="1:24">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c r="W49" s="18" t="s">
        <v>349</v>
      </c>
      <c r="X49" s="20" t="s">
        <v>349</v>
      </c>
    </row>
    <row r="50" spans="1:24">
      <c r="A50" s="15" t="s">
        <v>392</v>
      </c>
      <c r="B50" s="17" t="n">
        <v>6158</v>
      </c>
      <c r="C50" s="18">
        <f>(5402.0/B50*100)</f>
        <v/>
      </c>
      <c r="D50" s="19" t="n">
        <v>756</v>
      </c>
      <c r="E50" s="18" t="n">
        <v>50.07197112</v>
      </c>
      <c r="F50" s="20" t="n">
        <v>2.13424376</v>
      </c>
      <c r="G50" s="18" t="n">
        <v>4.68794655</v>
      </c>
      <c r="H50" s="20" t="n">
        <v>0.86640967</v>
      </c>
      <c r="I50" s="18" t="n">
        <v>5.94409066</v>
      </c>
      <c r="J50" s="20" t="n">
        <v>1.03972134</v>
      </c>
      <c r="K50" s="18" t="n">
        <v>2.71958314</v>
      </c>
      <c r="L50" s="20" t="n">
        <v>0.94613834</v>
      </c>
      <c r="M50" s="18" t="n">
        <v>16.83210032</v>
      </c>
      <c r="N50" s="20" t="n">
        <v>1.45022116</v>
      </c>
      <c r="O50" s="18" t="s">
        <v>349</v>
      </c>
      <c r="P50" s="20" t="s">
        <v>349</v>
      </c>
      <c r="Q50" s="18" t="n">
        <v>0.39415372</v>
      </c>
      <c r="R50" s="20" t="n">
        <v>0.22121933</v>
      </c>
      <c r="S50" s="18" t="n">
        <v>2.40702111</v>
      </c>
      <c r="T50" s="20" t="n">
        <v>0.6022162599999999</v>
      </c>
      <c r="U50" s="18" t="n">
        <v>0</v>
      </c>
      <c r="V50" s="20" t="n">
        <v>0</v>
      </c>
      <c r="W50" s="18" t="n">
        <v>16.94313339</v>
      </c>
      <c r="X50" s="20" t="n">
        <v>1.61686146</v>
      </c>
    </row>
    <row r="51" spans="1:24">
      <c r="A51" s="15" t="s">
        <v>393</v>
      </c>
      <c r="B51" s="17" t="n">
        <v>3494</v>
      </c>
      <c r="C51" s="18">
        <f>(3099.0/B51*100)</f>
        <v/>
      </c>
      <c r="D51" s="19" t="n">
        <v>395</v>
      </c>
      <c r="E51" s="18" t="n">
        <v>33.74435253</v>
      </c>
      <c r="F51" s="20" t="n">
        <v>2.69278016</v>
      </c>
      <c r="G51" s="18" t="n">
        <v>11.74206102</v>
      </c>
      <c r="H51" s="20" t="n">
        <v>1.86655145</v>
      </c>
      <c r="I51" s="18" t="n">
        <v>4.95155264</v>
      </c>
      <c r="J51" s="20" t="n">
        <v>1.06840079</v>
      </c>
      <c r="K51" s="18" t="n">
        <v>1.13280793</v>
      </c>
      <c r="L51" s="20" t="n">
        <v>0.51064077</v>
      </c>
      <c r="M51" s="18" t="n">
        <v>16.8384739</v>
      </c>
      <c r="N51" s="20" t="n">
        <v>1.77539015</v>
      </c>
      <c r="O51" s="18" t="s">
        <v>349</v>
      </c>
      <c r="P51" s="20" t="s">
        <v>349</v>
      </c>
      <c r="Q51" s="18" t="n">
        <v>0</v>
      </c>
      <c r="R51" s="20" t="n">
        <v>0</v>
      </c>
      <c r="S51" s="18" t="n">
        <v>0</v>
      </c>
      <c r="T51" s="20" t="n">
        <v>0</v>
      </c>
      <c r="U51" s="18" t="n">
        <v>0</v>
      </c>
      <c r="V51" s="20" t="n">
        <v>0</v>
      </c>
      <c r="W51" s="18" t="n">
        <v>31.59075198</v>
      </c>
      <c r="X51" s="20" t="n">
        <v>2.80621539</v>
      </c>
    </row>
    <row r="52" spans="1:24">
      <c r="A52" s="15" t="s">
        <v>394</v>
      </c>
      <c r="B52" s="17" t="n">
        <v>3013</v>
      </c>
      <c r="C52" s="18">
        <f>(2646.0/B52*100)</f>
        <v/>
      </c>
      <c r="D52" s="19" t="n">
        <v>367</v>
      </c>
      <c r="E52" s="18" t="n">
        <v>14.16454697</v>
      </c>
      <c r="F52" s="20" t="n">
        <v>1.86553926</v>
      </c>
      <c r="G52" s="18" t="n">
        <v>7.86568852</v>
      </c>
      <c r="H52" s="20" t="n">
        <v>1.25857457</v>
      </c>
      <c r="I52" s="18" t="n">
        <v>4.76907651</v>
      </c>
      <c r="J52" s="20" t="n">
        <v>1.06142477</v>
      </c>
      <c r="K52" s="18" t="n">
        <v>0.485405</v>
      </c>
      <c r="L52" s="20" t="n">
        <v>0.33583387</v>
      </c>
      <c r="M52" s="18" t="n">
        <v>42.5740066</v>
      </c>
      <c r="N52" s="20" t="n">
        <v>2.57699737</v>
      </c>
      <c r="O52" s="18" t="s">
        <v>349</v>
      </c>
      <c r="P52" s="20" t="s">
        <v>349</v>
      </c>
      <c r="Q52" s="18" t="n">
        <v>0</v>
      </c>
      <c r="R52" s="20" t="n">
        <v>0</v>
      </c>
      <c r="S52" s="18" t="n">
        <v>0.25707616</v>
      </c>
      <c r="T52" s="20" t="n">
        <v>0.36429605</v>
      </c>
      <c r="U52" s="18" t="n">
        <v>0</v>
      </c>
      <c r="V52" s="20" t="n">
        <v>0</v>
      </c>
      <c r="W52" s="18" t="n">
        <v>29.88420023</v>
      </c>
      <c r="X52" s="20" t="n">
        <v>2.15546464</v>
      </c>
    </row>
    <row r="53" spans="1:24">
      <c r="A53" s="15" t="s">
        <v>395</v>
      </c>
      <c r="B53" s="17" t="n">
        <v>2760</v>
      </c>
      <c r="C53" s="18">
        <f>(2416.0/B53*100)</f>
        <v/>
      </c>
      <c r="D53" s="19" t="n">
        <v>344</v>
      </c>
      <c r="E53" s="18" t="n">
        <v>20.64591473</v>
      </c>
      <c r="F53" s="20" t="n">
        <v>2.46647989</v>
      </c>
      <c r="G53" s="18" t="n">
        <v>3.64002895</v>
      </c>
      <c r="H53" s="20" t="n">
        <v>0.98680407</v>
      </c>
      <c r="I53" s="18" t="n">
        <v>9.566687740000001</v>
      </c>
      <c r="J53" s="20" t="n">
        <v>1.49992792</v>
      </c>
      <c r="K53" s="18" t="n">
        <v>4.67899335</v>
      </c>
      <c r="L53" s="20" t="n">
        <v>1.37544381</v>
      </c>
      <c r="M53" s="18" t="n">
        <v>42.85210237</v>
      </c>
      <c r="N53" s="20" t="n">
        <v>2.9371733</v>
      </c>
      <c r="O53" s="18" t="s">
        <v>349</v>
      </c>
      <c r="P53" s="20" t="s">
        <v>349</v>
      </c>
      <c r="Q53" s="18" t="n">
        <v>0.39371541</v>
      </c>
      <c r="R53" s="20" t="n">
        <v>0.39440191</v>
      </c>
      <c r="S53" s="18" t="n">
        <v>0</v>
      </c>
      <c r="T53" s="20" t="n">
        <v>0</v>
      </c>
      <c r="U53" s="18" t="n">
        <v>0</v>
      </c>
      <c r="V53" s="20" t="n">
        <v>0</v>
      </c>
      <c r="W53" s="18" t="n">
        <v>18.22255745</v>
      </c>
      <c r="X53" s="20" t="n">
        <v>1.95346319</v>
      </c>
    </row>
    <row r="54" spans="1:24">
      <c r="A54" s="15" t="s">
        <v>396</v>
      </c>
      <c r="B54" s="17" t="n">
        <v>2474</v>
      </c>
      <c r="C54" s="18">
        <f>(2085.0/B54*100)</f>
        <v/>
      </c>
      <c r="D54" s="19" t="n">
        <v>389</v>
      </c>
      <c r="E54" s="18" t="n">
        <v>38.36648899</v>
      </c>
      <c r="F54" s="20" t="n">
        <v>2.70680471</v>
      </c>
      <c r="G54" s="18" t="n">
        <v>3.51722193</v>
      </c>
      <c r="H54" s="20" t="n">
        <v>0.9588589199999999</v>
      </c>
      <c r="I54" s="18" t="n">
        <v>6.31091787</v>
      </c>
      <c r="J54" s="20" t="n">
        <v>1.55147226</v>
      </c>
      <c r="K54" s="18" t="n">
        <v>0.18788764</v>
      </c>
      <c r="L54" s="20" t="n">
        <v>0.18825383</v>
      </c>
      <c r="M54" s="18" t="n">
        <v>1.85898981</v>
      </c>
      <c r="N54" s="20" t="n">
        <v>0.72345094</v>
      </c>
      <c r="O54" s="18" t="s">
        <v>349</v>
      </c>
      <c r="P54" s="20" t="s">
        <v>349</v>
      </c>
      <c r="Q54" s="18" t="n">
        <v>4.85208604</v>
      </c>
      <c r="R54" s="20" t="n">
        <v>1.37126384</v>
      </c>
      <c r="S54" s="18" t="n">
        <v>0.81160306</v>
      </c>
      <c r="T54" s="20" t="n">
        <v>0.65826175</v>
      </c>
      <c r="U54" s="18" t="n">
        <v>0</v>
      </c>
      <c r="V54" s="20" t="n">
        <v>0</v>
      </c>
      <c r="W54" s="18" t="n">
        <v>44.09480466</v>
      </c>
      <c r="X54" s="20" t="n">
        <v>2.64900134</v>
      </c>
    </row>
    <row r="55" spans="1:24">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c r="U55" s="18" t="s">
        <v>349</v>
      </c>
      <c r="V55" s="20" t="s">
        <v>349</v>
      </c>
      <c r="W55" s="18" t="s">
        <v>349</v>
      </c>
      <c r="X55" s="20" t="s">
        <v>349</v>
      </c>
    </row>
    <row r="56" spans="1:24">
      <c r="A56" s="15" t="s">
        <v>398</v>
      </c>
      <c r="B56" s="17" t="n">
        <v>2675</v>
      </c>
      <c r="C56" s="18">
        <f>(2322.0/B56*100)</f>
        <v/>
      </c>
      <c r="D56" s="19" t="n">
        <v>353</v>
      </c>
      <c r="E56" s="18" t="n">
        <v>13.22043405</v>
      </c>
      <c r="F56" s="20" t="n">
        <v>2.17811842</v>
      </c>
      <c r="G56" s="18" t="n">
        <v>1.80471671</v>
      </c>
      <c r="H56" s="20" t="n">
        <v>0.7313082400000001</v>
      </c>
      <c r="I56" s="18" t="n">
        <v>6.87231523</v>
      </c>
      <c r="J56" s="20" t="n">
        <v>1.43905868</v>
      </c>
      <c r="K56" s="18" t="n">
        <v>3.63413838</v>
      </c>
      <c r="L56" s="20" t="n">
        <v>0.95182879</v>
      </c>
      <c r="M56" s="18" t="n">
        <v>69.93843527</v>
      </c>
      <c r="N56" s="20" t="n">
        <v>2.49047987</v>
      </c>
      <c r="O56" s="18" t="s">
        <v>349</v>
      </c>
      <c r="P56" s="20" t="s">
        <v>349</v>
      </c>
      <c r="Q56" s="18" t="n">
        <v>0</v>
      </c>
      <c r="R56" s="20" t="n">
        <v>0</v>
      </c>
      <c r="S56" s="18" t="n">
        <v>0</v>
      </c>
      <c r="T56" s="20" t="n">
        <v>0</v>
      </c>
      <c r="U56" s="18" t="n">
        <v>0</v>
      </c>
      <c r="V56" s="20" t="n">
        <v>0</v>
      </c>
      <c r="W56" s="18" t="n">
        <v>4.52996036</v>
      </c>
      <c r="X56" s="20" t="n">
        <v>1.14042918</v>
      </c>
    </row>
    <row r="57" spans="1:24">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c r="U57" s="18" t="s">
        <v>349</v>
      </c>
      <c r="V57" s="20" t="s">
        <v>349</v>
      </c>
      <c r="W57" s="18" t="s">
        <v>349</v>
      </c>
      <c r="X57" s="20" t="s">
        <v>349</v>
      </c>
    </row>
    <row r="58" spans="1:24">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c r="W58" s="18" t="s">
        <v>349</v>
      </c>
      <c r="X58" s="20" t="s">
        <v>349</v>
      </c>
    </row>
    <row r="59" spans="1:24">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c r="W59" s="18" t="s">
        <v>349</v>
      </c>
      <c r="X59" s="20" t="s">
        <v>349</v>
      </c>
    </row>
    <row r="60" spans="1:24">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c r="W60" s="18" t="s">
        <v>349</v>
      </c>
      <c r="X60" s="20" t="s">
        <v>349</v>
      </c>
    </row>
    <row r="61" spans="1:24">
      <c r="A61" s="15" t="s">
        <v>403</v>
      </c>
      <c r="B61" s="17" t="n">
        <v>3201</v>
      </c>
      <c r="C61" s="18">
        <f>(2818.0/B61*100)</f>
        <v/>
      </c>
      <c r="D61" s="19" t="n">
        <v>383</v>
      </c>
      <c r="E61" s="18" t="n">
        <v>17.55819847</v>
      </c>
      <c r="F61" s="20" t="n">
        <v>2.39140632</v>
      </c>
      <c r="G61" s="18" t="n">
        <v>8.83784766</v>
      </c>
      <c r="H61" s="20" t="n">
        <v>1.45673652</v>
      </c>
      <c r="I61" s="18" t="n">
        <v>10.31959919</v>
      </c>
      <c r="J61" s="20" t="n">
        <v>1.79179252</v>
      </c>
      <c r="K61" s="18" t="n">
        <v>1.39706004</v>
      </c>
      <c r="L61" s="20" t="n">
        <v>0.74303729</v>
      </c>
      <c r="M61" s="18" t="n">
        <v>45.76179841</v>
      </c>
      <c r="N61" s="20" t="n">
        <v>3.01506096</v>
      </c>
      <c r="O61" s="18" t="s">
        <v>349</v>
      </c>
      <c r="P61" s="20" t="s">
        <v>349</v>
      </c>
      <c r="Q61" s="18" t="n">
        <v>0.58521453</v>
      </c>
      <c r="R61" s="20" t="n">
        <v>0.41601691</v>
      </c>
      <c r="S61" s="18" t="n">
        <v>0</v>
      </c>
      <c r="T61" s="20" t="n">
        <v>0</v>
      </c>
      <c r="U61" s="18" t="n">
        <v>0</v>
      </c>
      <c r="V61" s="20" t="n">
        <v>0</v>
      </c>
      <c r="W61" s="18" t="n">
        <v>15.5402817</v>
      </c>
      <c r="X61" s="20" t="n">
        <v>2.26692361</v>
      </c>
    </row>
    <row r="62" spans="1:24">
      <c r="A62" s="15" t="s">
        <v>404</v>
      </c>
      <c r="B62" s="17" t="n">
        <v>2230</v>
      </c>
      <c r="C62" s="18">
        <f>(1945.0/B62*100)</f>
        <v/>
      </c>
      <c r="D62" s="19" t="n">
        <v>285</v>
      </c>
      <c r="E62" s="18" t="n">
        <v>16.51801286</v>
      </c>
      <c r="F62" s="20" t="n">
        <v>2.06539286</v>
      </c>
      <c r="G62" s="18" t="n">
        <v>1.04507918</v>
      </c>
      <c r="H62" s="20" t="n">
        <v>0.61512661</v>
      </c>
      <c r="I62" s="18" t="n">
        <v>7.41169107</v>
      </c>
      <c r="J62" s="20" t="n">
        <v>1.49529653</v>
      </c>
      <c r="K62" s="18" t="n">
        <v>5.97537257</v>
      </c>
      <c r="L62" s="20" t="n">
        <v>1.57026447</v>
      </c>
      <c r="M62" s="18" t="n">
        <v>65.5187935</v>
      </c>
      <c r="N62" s="20" t="n">
        <v>2.96862617</v>
      </c>
      <c r="O62" s="18" t="s">
        <v>349</v>
      </c>
      <c r="P62" s="20" t="s">
        <v>349</v>
      </c>
      <c r="Q62" s="18" t="n">
        <v>0</v>
      </c>
      <c r="R62" s="20" t="n">
        <v>0</v>
      </c>
      <c r="S62" s="18" t="n">
        <v>0</v>
      </c>
      <c r="T62" s="20" t="n">
        <v>0</v>
      </c>
      <c r="U62" s="18" t="n">
        <v>0</v>
      </c>
      <c r="V62" s="20" t="n">
        <v>0</v>
      </c>
      <c r="W62" s="18" t="n">
        <v>3.53105082</v>
      </c>
      <c r="X62" s="20" t="n">
        <v>1.11396198</v>
      </c>
    </row>
    <row r="63" spans="1:24">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c r="W63" s="18" t="s">
        <v>349</v>
      </c>
      <c r="X63" s="20" t="s">
        <v>349</v>
      </c>
    </row>
    <row r="64" spans="1:24">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c r="U64" s="18" t="s">
        <v>349</v>
      </c>
      <c r="V64" s="20" t="s">
        <v>349</v>
      </c>
      <c r="W64" s="18" t="s">
        <v>349</v>
      </c>
      <c r="X64" s="20" t="s">
        <v>349</v>
      </c>
    </row>
    <row r="65" spans="1:24">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c r="W65" s="18" t="s">
        <v>349</v>
      </c>
      <c r="X65" s="20" t="s">
        <v>349</v>
      </c>
    </row>
    <row r="66" spans="1:24">
      <c r="A66" s="15" t="s">
        <v>408</v>
      </c>
      <c r="B66" s="17" t="n">
        <v>2771</v>
      </c>
      <c r="C66" s="18">
        <f>(2434.0/B66*100)</f>
        <v/>
      </c>
      <c r="D66" s="19" t="n">
        <v>337</v>
      </c>
      <c r="E66" s="18" t="n">
        <v>18.73947394</v>
      </c>
      <c r="F66" s="20" t="n">
        <v>1.89308092</v>
      </c>
      <c r="G66" s="18" t="n">
        <v>5.79157961</v>
      </c>
      <c r="H66" s="20" t="n">
        <v>1.25470848</v>
      </c>
      <c r="I66" s="18" t="n">
        <v>6.0721752</v>
      </c>
      <c r="J66" s="20" t="n">
        <v>1.40694618</v>
      </c>
      <c r="K66" s="18" t="n">
        <v>1.5891825</v>
      </c>
      <c r="L66" s="20" t="n">
        <v>0.7130836</v>
      </c>
      <c r="M66" s="18" t="n">
        <v>29.91946583</v>
      </c>
      <c r="N66" s="20" t="n">
        <v>2.84701771</v>
      </c>
      <c r="O66" s="18" t="s">
        <v>349</v>
      </c>
      <c r="P66" s="20" t="s">
        <v>349</v>
      </c>
      <c r="Q66" s="18" t="n">
        <v>0</v>
      </c>
      <c r="R66" s="20" t="n">
        <v>0</v>
      </c>
      <c r="S66" s="18" t="n">
        <v>0.25857561</v>
      </c>
      <c r="T66" s="20" t="n">
        <v>0.2572382</v>
      </c>
      <c r="U66" s="18" t="n">
        <v>0</v>
      </c>
      <c r="V66" s="20" t="n">
        <v>0</v>
      </c>
      <c r="W66" s="18" t="n">
        <v>37.62954732</v>
      </c>
      <c r="X66" s="20" t="n">
        <v>2.81946143</v>
      </c>
    </row>
    <row r="67" spans="1:24">
      <c r="A67" s="15" t="s">
        <v>409</v>
      </c>
      <c r="B67" s="17" t="n">
        <v>3460</v>
      </c>
      <c r="C67" s="18">
        <f>(3056.0/B67*100)</f>
        <v/>
      </c>
      <c r="D67" s="19" t="n">
        <v>404</v>
      </c>
      <c r="E67" s="18" t="n">
        <v>38.85787727</v>
      </c>
      <c r="F67" s="20" t="n">
        <v>2.382703</v>
      </c>
      <c r="G67" s="18" t="n">
        <v>3.03046196</v>
      </c>
      <c r="H67" s="20" t="n">
        <v>0.85481757</v>
      </c>
      <c r="I67" s="18" t="n">
        <v>7.19444056</v>
      </c>
      <c r="J67" s="20" t="n">
        <v>1.49823327</v>
      </c>
      <c r="K67" s="18" t="n">
        <v>1.18436474</v>
      </c>
      <c r="L67" s="20" t="n">
        <v>0.52740519</v>
      </c>
      <c r="M67" s="18" t="n">
        <v>14.09720998</v>
      </c>
      <c r="N67" s="20" t="n">
        <v>1.83967473</v>
      </c>
      <c r="O67" s="18" t="s">
        <v>349</v>
      </c>
      <c r="P67" s="20" t="s">
        <v>349</v>
      </c>
      <c r="Q67" s="18" t="n">
        <v>0</v>
      </c>
      <c r="R67" s="20" t="n">
        <v>0</v>
      </c>
      <c r="S67" s="18" t="n">
        <v>0.9733971300000001</v>
      </c>
      <c r="T67" s="20" t="n">
        <v>0.49035035</v>
      </c>
      <c r="U67" s="18" t="n">
        <v>0</v>
      </c>
      <c r="V67" s="20" t="n">
        <v>0</v>
      </c>
      <c r="W67" s="18" t="n">
        <v>34.66224835</v>
      </c>
      <c r="X67" s="20" t="n">
        <v>2.39685825</v>
      </c>
    </row>
    <row r="68" spans="1:24">
      <c r="A68" s="15" t="s">
        <v>410</v>
      </c>
      <c r="B68" s="17" t="n">
        <v>6034</v>
      </c>
      <c r="C68" s="18">
        <f>(5020.0/B68*100)</f>
        <v/>
      </c>
      <c r="D68" s="19" t="n">
        <v>1014</v>
      </c>
      <c r="E68" s="18" t="n">
        <v>47.6811991</v>
      </c>
      <c r="F68" s="20" t="n">
        <v>1.76557662</v>
      </c>
      <c r="G68" s="18" t="n">
        <v>3.18367265</v>
      </c>
      <c r="H68" s="20" t="n">
        <v>0.58014245</v>
      </c>
      <c r="I68" s="18" t="n">
        <v>9.094385949999999</v>
      </c>
      <c r="J68" s="20" t="n">
        <v>1.0555198</v>
      </c>
      <c r="K68" s="18" t="n">
        <v>2.41162192</v>
      </c>
      <c r="L68" s="20" t="n">
        <v>0.4727368</v>
      </c>
      <c r="M68" s="18" t="n">
        <v>24.80007915</v>
      </c>
      <c r="N68" s="20" t="n">
        <v>1.2897822</v>
      </c>
      <c r="O68" s="18" t="s">
        <v>349</v>
      </c>
      <c r="P68" s="20" t="s">
        <v>349</v>
      </c>
      <c r="Q68" s="18" t="n">
        <v>0.97985404</v>
      </c>
      <c r="R68" s="20" t="n">
        <v>0.27493185</v>
      </c>
      <c r="S68" s="18" t="n">
        <v>0</v>
      </c>
      <c r="T68" s="20" t="n">
        <v>0</v>
      </c>
      <c r="U68" s="18" t="n">
        <v>0</v>
      </c>
      <c r="V68" s="20" t="n">
        <v>0</v>
      </c>
      <c r="W68" s="18" t="n">
        <v>11.84918719</v>
      </c>
      <c r="X68" s="20" t="n">
        <v>1.13581324</v>
      </c>
    </row>
    <row r="69" spans="1:24">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c r="W69" s="18" t="s">
        <v>349</v>
      </c>
      <c r="X69" s="20" t="s">
        <v>349</v>
      </c>
    </row>
    <row r="70" spans="1:24">
      <c r="A70" s="15" t="s">
        <v>412</v>
      </c>
      <c r="B70" s="17" t="n">
        <v>3107</v>
      </c>
      <c r="C70" s="18">
        <f>(2719.0/B70*100)</f>
        <v/>
      </c>
      <c r="D70" s="19" t="n">
        <v>388</v>
      </c>
      <c r="E70" s="18" t="n">
        <v>23.77980868</v>
      </c>
      <c r="F70" s="20" t="n">
        <v>2.24965201</v>
      </c>
      <c r="G70" s="18" t="n">
        <v>5.6375109</v>
      </c>
      <c r="H70" s="20" t="n">
        <v>1.27334464</v>
      </c>
      <c r="I70" s="18" t="n">
        <v>13.3496264</v>
      </c>
      <c r="J70" s="20" t="n">
        <v>1.72975384</v>
      </c>
      <c r="K70" s="18" t="n">
        <v>1.25142448</v>
      </c>
      <c r="L70" s="20" t="n">
        <v>0.60268714</v>
      </c>
      <c r="M70" s="18" t="n">
        <v>42.57558996</v>
      </c>
      <c r="N70" s="20" t="n">
        <v>2.15416514</v>
      </c>
      <c r="O70" s="18" t="s">
        <v>349</v>
      </c>
      <c r="P70" s="20" t="s">
        <v>349</v>
      </c>
      <c r="Q70" s="18" t="n">
        <v>0</v>
      </c>
      <c r="R70" s="20" t="n">
        <v>0</v>
      </c>
      <c r="S70" s="18" t="n">
        <v>0.8337127600000001</v>
      </c>
      <c r="T70" s="20" t="n">
        <v>0.22949371</v>
      </c>
      <c r="U70" s="18" t="n">
        <v>0</v>
      </c>
      <c r="V70" s="20" t="n">
        <v>0</v>
      </c>
      <c r="W70" s="18" t="n">
        <v>12.5723268</v>
      </c>
      <c r="X70" s="20" t="n">
        <v>1.47307193</v>
      </c>
    </row>
    <row r="71" spans="1:24">
      <c r="A71" s="15" t="s">
        <v>413</v>
      </c>
      <c r="B71" s="17" t="n">
        <v>2973</v>
      </c>
      <c r="C71" s="18">
        <f>(2613.0/B71*100)</f>
        <v/>
      </c>
      <c r="D71" s="19" t="n">
        <v>360</v>
      </c>
      <c r="E71" s="18" t="n">
        <v>14.38522418</v>
      </c>
      <c r="F71" s="20" t="n">
        <v>1.90436805</v>
      </c>
      <c r="G71" s="18" t="n">
        <v>1.75349294</v>
      </c>
      <c r="H71" s="20" t="n">
        <v>0.68389679</v>
      </c>
      <c r="I71" s="18" t="n">
        <v>9.572517339999999</v>
      </c>
      <c r="J71" s="20" t="n">
        <v>1.79168453</v>
      </c>
      <c r="K71" s="18" t="n">
        <v>1.34365296</v>
      </c>
      <c r="L71" s="20" t="n">
        <v>0.6913999</v>
      </c>
      <c r="M71" s="18" t="n">
        <v>71.85524404</v>
      </c>
      <c r="N71" s="20" t="n">
        <v>2.42245197</v>
      </c>
      <c r="O71" s="18" t="s">
        <v>349</v>
      </c>
      <c r="P71" s="20" t="s">
        <v>349</v>
      </c>
      <c r="Q71" s="18" t="n">
        <v>0.32368251</v>
      </c>
      <c r="R71" s="20" t="n">
        <v>0.325956</v>
      </c>
      <c r="S71" s="18" t="n">
        <v>0</v>
      </c>
      <c r="T71" s="20" t="n">
        <v>0</v>
      </c>
      <c r="U71" s="18" t="n">
        <v>0</v>
      </c>
      <c r="V71" s="20" t="n">
        <v>0</v>
      </c>
      <c r="W71" s="18" t="n">
        <v>0.76618602</v>
      </c>
      <c r="X71" s="20" t="n">
        <v>0.44665315</v>
      </c>
    </row>
    <row r="72" spans="1:24">
      <c r="A72" s="15" t="s">
        <v>414</v>
      </c>
      <c r="B72" s="17" t="n">
        <v>3819</v>
      </c>
      <c r="C72" s="18">
        <f>(3345.0/B72*100)</f>
        <v/>
      </c>
      <c r="D72" s="19" t="n">
        <v>474</v>
      </c>
      <c r="E72" s="18" t="n">
        <v>17.87275372</v>
      </c>
      <c r="F72" s="20" t="n">
        <v>1.7549354</v>
      </c>
      <c r="G72" s="18" t="n">
        <v>0.93271816</v>
      </c>
      <c r="H72" s="20" t="n">
        <v>0.4215692</v>
      </c>
      <c r="I72" s="18" t="n">
        <v>19.57451752</v>
      </c>
      <c r="J72" s="20" t="n">
        <v>1.75794988</v>
      </c>
      <c r="K72" s="18" t="n">
        <v>1.53147135</v>
      </c>
      <c r="L72" s="20" t="n">
        <v>0.41718029</v>
      </c>
      <c r="M72" s="18" t="n">
        <v>53.70925432</v>
      </c>
      <c r="N72" s="20" t="n">
        <v>2.87320585</v>
      </c>
      <c r="O72" s="18" t="s">
        <v>349</v>
      </c>
      <c r="P72" s="20" t="s">
        <v>349</v>
      </c>
      <c r="Q72" s="18" t="n">
        <v>0</v>
      </c>
      <c r="R72" s="20" t="n">
        <v>0</v>
      </c>
      <c r="S72" s="18" t="n">
        <v>0</v>
      </c>
      <c r="T72" s="20" t="n">
        <v>0</v>
      </c>
      <c r="U72" s="18" t="n">
        <v>0</v>
      </c>
      <c r="V72" s="20" t="n">
        <v>0</v>
      </c>
      <c r="W72" s="18" t="n">
        <v>6.37928494</v>
      </c>
      <c r="X72" s="20" t="n">
        <v>1.41624341</v>
      </c>
    </row>
    <row r="73" spans="1:24">
      <c r="A73" s="15" t="s">
        <v>415</v>
      </c>
      <c r="B73" s="17" t="n">
        <v>4652</v>
      </c>
      <c r="C73" s="18">
        <f>(4107.0/B73*100)</f>
        <v/>
      </c>
      <c r="D73" s="19" t="n">
        <v>545</v>
      </c>
      <c r="E73" s="18" t="n">
        <v>44.17986826</v>
      </c>
      <c r="F73" s="20" t="n">
        <v>2.59261587</v>
      </c>
      <c r="G73" s="18" t="n">
        <v>3.11805998</v>
      </c>
      <c r="H73" s="20" t="n">
        <v>0.95521487</v>
      </c>
      <c r="I73" s="18" t="n">
        <v>12.91207294</v>
      </c>
      <c r="J73" s="20" t="n">
        <v>1.75770255</v>
      </c>
      <c r="K73" s="18" t="n">
        <v>2.04602633</v>
      </c>
      <c r="L73" s="20" t="n">
        <v>0.61744129</v>
      </c>
      <c r="M73" s="18" t="n">
        <v>31.06204294</v>
      </c>
      <c r="N73" s="20" t="n">
        <v>2.56133255</v>
      </c>
      <c r="O73" s="18" t="s">
        <v>349</v>
      </c>
      <c r="P73" s="20" t="s">
        <v>349</v>
      </c>
      <c r="Q73" s="18" t="n">
        <v>0</v>
      </c>
      <c r="R73" s="20" t="n">
        <v>0</v>
      </c>
      <c r="S73" s="18" t="n">
        <v>0</v>
      </c>
      <c r="T73" s="20" t="n">
        <v>0</v>
      </c>
      <c r="U73" s="18" t="n">
        <v>0</v>
      </c>
      <c r="V73" s="20" t="n">
        <v>0</v>
      </c>
      <c r="W73" s="18" t="n">
        <v>6.68192955</v>
      </c>
      <c r="X73" s="20" t="n">
        <v>1.22112285</v>
      </c>
    </row>
    <row r="74" spans="1:24">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c r="W74" s="18" t="s">
        <v>349</v>
      </c>
      <c r="X74" s="20" t="s">
        <v>349</v>
      </c>
    </row>
    <row r="75" spans="1:24">
      <c r="A75" s="15" t="s">
        <v>417</v>
      </c>
      <c r="B75" s="17" t="n">
        <v>2969</v>
      </c>
      <c r="C75" s="18">
        <f>(2627.0/B75*100)</f>
        <v/>
      </c>
      <c r="D75" s="19" t="n">
        <v>342</v>
      </c>
      <c r="E75" s="18" t="n">
        <v>37.14737643</v>
      </c>
      <c r="F75" s="20" t="n">
        <v>2.90029514</v>
      </c>
      <c r="G75" s="18" t="n">
        <v>7.19645888</v>
      </c>
      <c r="H75" s="20" t="n">
        <v>1.43059233</v>
      </c>
      <c r="I75" s="18" t="n">
        <v>8.29797752</v>
      </c>
      <c r="J75" s="20" t="n">
        <v>1.66425015</v>
      </c>
      <c r="K75" s="18" t="n">
        <v>0.37372052</v>
      </c>
      <c r="L75" s="20" t="n">
        <v>0.29427566</v>
      </c>
      <c r="M75" s="18" t="n">
        <v>15.07202934</v>
      </c>
      <c r="N75" s="20" t="n">
        <v>2.24752402</v>
      </c>
      <c r="O75" s="18" t="s">
        <v>349</v>
      </c>
      <c r="P75" s="20" t="s">
        <v>349</v>
      </c>
      <c r="Q75" s="18" t="n">
        <v>1.27865097</v>
      </c>
      <c r="R75" s="20" t="n">
        <v>0.59274726</v>
      </c>
      <c r="S75" s="18" t="n">
        <v>0.56961613</v>
      </c>
      <c r="T75" s="20" t="n">
        <v>0.34957288</v>
      </c>
      <c r="U75" s="18" t="n">
        <v>0</v>
      </c>
      <c r="V75" s="20" t="n">
        <v>0</v>
      </c>
      <c r="W75" s="18" t="n">
        <v>30.0641702</v>
      </c>
      <c r="X75" s="20" t="n">
        <v>2.55069634</v>
      </c>
    </row>
    <row r="76" spans="1:24">
      <c r="A76" s="15" t="s">
        <v>418</v>
      </c>
      <c r="B76" s="17" t="n">
        <v>7115</v>
      </c>
      <c r="C76" s="18">
        <f>(6244.0/B76*100)</f>
        <v/>
      </c>
      <c r="D76" s="19" t="n">
        <v>871</v>
      </c>
      <c r="E76" s="18" t="n">
        <v>43.32199886</v>
      </c>
      <c r="F76" s="20" t="n">
        <v>1.93115277</v>
      </c>
      <c r="G76" s="18" t="n">
        <v>6.43638371</v>
      </c>
      <c r="H76" s="20" t="n">
        <v>1.01395793</v>
      </c>
      <c r="I76" s="18" t="n">
        <v>8.820902800000001</v>
      </c>
      <c r="J76" s="20" t="n">
        <v>1.19507752</v>
      </c>
      <c r="K76" s="18" t="n">
        <v>1.37084147</v>
      </c>
      <c r="L76" s="20" t="n">
        <v>0.7287811199999999</v>
      </c>
      <c r="M76" s="18" t="n">
        <v>33.96219723</v>
      </c>
      <c r="N76" s="20" t="n">
        <v>2.08870742</v>
      </c>
      <c r="O76" s="18" t="s">
        <v>349</v>
      </c>
      <c r="P76" s="20" t="s">
        <v>349</v>
      </c>
      <c r="Q76" s="18" t="n">
        <v>0.13049641</v>
      </c>
      <c r="R76" s="20" t="n">
        <v>0.12999286</v>
      </c>
      <c r="S76" s="18" t="n">
        <v>0.03744646</v>
      </c>
      <c r="T76" s="20" t="n">
        <v>0.03763226</v>
      </c>
      <c r="U76" s="18" t="n">
        <v>0</v>
      </c>
      <c r="V76" s="20" t="n">
        <v>0</v>
      </c>
      <c r="W76" s="18" t="n">
        <v>5.91973306</v>
      </c>
      <c r="X76" s="20" t="n">
        <v>0.83135842</v>
      </c>
    </row>
    <row r="77" spans="1:24">
      <c r="A77" s="15" t="s">
        <v>419</v>
      </c>
      <c r="B77" s="17" t="n">
        <v>3154</v>
      </c>
      <c r="C77" s="18">
        <f>(2786.0/B77*100)</f>
        <v/>
      </c>
      <c r="D77" s="19" t="n">
        <v>368</v>
      </c>
      <c r="E77" s="18" t="n">
        <v>17.53107046</v>
      </c>
      <c r="F77" s="20" t="n">
        <v>2.5180399</v>
      </c>
      <c r="G77" s="18" t="n">
        <v>6.79015667</v>
      </c>
      <c r="H77" s="20" t="n">
        <v>1.29353904</v>
      </c>
      <c r="I77" s="18" t="n">
        <v>6.14858285</v>
      </c>
      <c r="J77" s="20" t="n">
        <v>1.35202766</v>
      </c>
      <c r="K77" s="18" t="n">
        <v>1.80092963</v>
      </c>
      <c r="L77" s="20" t="n">
        <v>0.82802425</v>
      </c>
      <c r="M77" s="18" t="n">
        <v>20.73962391</v>
      </c>
      <c r="N77" s="20" t="n">
        <v>2.34080048</v>
      </c>
      <c r="O77" s="18" t="s">
        <v>349</v>
      </c>
      <c r="P77" s="20" t="s">
        <v>349</v>
      </c>
      <c r="Q77" s="18" t="n">
        <v>0.28557708</v>
      </c>
      <c r="R77" s="20" t="n">
        <v>0.28744528</v>
      </c>
      <c r="S77" s="18" t="n">
        <v>5.30980605</v>
      </c>
      <c r="T77" s="20" t="n">
        <v>1.1260803</v>
      </c>
      <c r="U77" s="18" t="n">
        <v>0</v>
      </c>
      <c r="V77" s="20" t="n">
        <v>0</v>
      </c>
      <c r="W77" s="18" t="n">
        <v>41.39425335</v>
      </c>
      <c r="X77" s="20" t="n">
        <v>2.66504111</v>
      </c>
    </row>
    <row r="78" spans="1:24">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c r="W78" s="18" t="s">
        <v>349</v>
      </c>
      <c r="X78" s="20" t="s">
        <v>349</v>
      </c>
    </row>
    <row customHeight="1" ht="25" r="79" spans="1:24">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c r="W79" s="18" t="s">
        <v>349</v>
      </c>
      <c r="X79" s="20" t="s">
        <v>349</v>
      </c>
    </row>
    <row r="80" spans="1:24">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row>
    <row r="81" spans="1:24">
      <c r="A81" s="21" t="s">
        <v>423</v>
      </c>
      <c r="B81" s="17" t="n">
        <v>4698</v>
      </c>
      <c r="C81" s="18">
        <f>(4138.0/B81*100)</f>
        <v/>
      </c>
      <c r="D81" s="19" t="n">
        <v>560</v>
      </c>
      <c r="E81" s="18" t="n">
        <v>35.25372804</v>
      </c>
      <c r="F81" s="20" t="n">
        <v>2.38828141</v>
      </c>
      <c r="G81" s="18" t="n">
        <v>4.03387704</v>
      </c>
      <c r="H81" s="20" t="n">
        <v>1.00695163</v>
      </c>
      <c r="I81" s="18" t="n">
        <v>14.19687934</v>
      </c>
      <c r="J81" s="20" t="n">
        <v>1.98831485</v>
      </c>
      <c r="K81" s="18" t="n">
        <v>2.35617219</v>
      </c>
      <c r="L81" s="20" t="n">
        <v>0.7793402699999999</v>
      </c>
      <c r="M81" s="18" t="n">
        <v>39.40241487</v>
      </c>
      <c r="N81" s="20" t="n">
        <v>2.67301964</v>
      </c>
      <c r="O81" s="18" t="s">
        <v>349</v>
      </c>
      <c r="P81" s="20" t="s">
        <v>349</v>
      </c>
      <c r="Q81" s="18" t="n">
        <v>0</v>
      </c>
      <c r="R81" s="20" t="n">
        <v>0</v>
      </c>
      <c r="S81" s="18" t="n">
        <v>0</v>
      </c>
      <c r="T81" s="20" t="n">
        <v>0</v>
      </c>
      <c r="U81" s="18" t="n">
        <v>0</v>
      </c>
      <c r="V81" s="20" t="n">
        <v>0</v>
      </c>
      <c r="W81" s="18" t="n">
        <v>4.75692852</v>
      </c>
      <c r="X81" s="20" t="n">
        <v>1.19434208</v>
      </c>
    </row>
    <row r="82" spans="1:24">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row>
    <row r="83" spans="1:24">
      <c r="A83" s="3" t="s">
        <v>425</v>
      </c>
    </row>
    <row r="84" spans="1:24">
      <c r="A84" s="23" t="s">
        <v>426</v>
      </c>
    </row>
    <row r="85" spans="1:24">
      <c r="A85" s="23" t="s">
        <v>427</v>
      </c>
    </row>
    <row customHeight="1" ht="30" r="86" spans="1:24">
      <c r="A86" s="23" t="s">
        <v>428</v>
      </c>
    </row>
    <row customHeight="1" ht="30" r="87" spans="1:24">
      <c r="A87" s="23" t="s">
        <v>424</v>
      </c>
    </row>
    <row customHeight="1" ht="30" r="88" spans="1:24">
      <c r="A88" s="23" t="s">
        <v>429</v>
      </c>
    </row>
    <row customHeight="1" ht="30" r="89" spans="1:24">
      <c r="A89" s="23" t="s">
        <v>430</v>
      </c>
    </row>
    <row customHeight="1" ht="30" r="90" spans="1:24">
      <c r="A90" s="23" t="s">
        <v>431</v>
      </c>
    </row>
    <row customHeight="1" ht="30" r="91" spans="1:24">
      <c r="A91" s="23" t="s">
        <v>432</v>
      </c>
    </row>
    <row customHeight="1" ht="30" r="92" spans="1:24">
      <c r="A92" s="23" t="s">
        <v>433</v>
      </c>
    </row>
    <row customHeight="1" ht="30" r="93" spans="1:24">
      <c r="A93" s="23" t="s">
        <v>434</v>
      </c>
    </row>
    <row customHeight="1" ht="30" r="94" spans="1:24">
      <c r="A94" s="23" t="s">
        <v>435</v>
      </c>
    </row>
    <row customHeight="1" ht="30" r="95" spans="1:24">
      <c r="A95" s="23" t="s">
        <v>436</v>
      </c>
    </row>
    <row customHeight="1" ht="30" r="96" spans="1:24">
      <c r="A96" s="23" t="s">
        <v>437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(6244.0/B7*100)</f>
        <v/>
      </c>
      <c r="D7" s="19" t="n">
        <v>919</v>
      </c>
      <c r="E7" s="18" t="n">
        <v>28.1639965</v>
      </c>
      <c r="F7" s="20" t="n">
        <v>1.8211727</v>
      </c>
      <c r="G7" s="18" t="n">
        <v>68.50574527000001</v>
      </c>
      <c r="H7" s="20" t="n">
        <v>1.80562607</v>
      </c>
      <c r="I7" s="18" t="s">
        <v>349</v>
      </c>
      <c r="J7" s="20" t="s">
        <v>349</v>
      </c>
      <c r="K7" s="18" t="n">
        <v>0.07940576000000001</v>
      </c>
      <c r="L7" s="20" t="n">
        <v>0.07746096</v>
      </c>
      <c r="M7" s="18" t="n">
        <v>0</v>
      </c>
      <c r="N7" s="20" t="n">
        <v>0</v>
      </c>
      <c r="O7" s="18" t="n">
        <v>0</v>
      </c>
      <c r="P7" s="20" t="n">
        <v>0</v>
      </c>
      <c r="Q7" s="18" t="n">
        <v>3.25085247</v>
      </c>
      <c r="R7" s="20" t="n">
        <v>0.6794540100000001</v>
      </c>
    </row>
    <row r="8" spans="1:18">
      <c r="A8" s="15" t="s">
        <v>350</v>
      </c>
      <c r="B8" s="17" t="n">
        <v>3443</v>
      </c>
      <c r="C8" s="18">
        <f>(3029.0/B8*100)</f>
        <v/>
      </c>
      <c r="D8" s="19" t="n">
        <v>414</v>
      </c>
      <c r="E8" s="18" t="n">
        <v>29.86873279</v>
      </c>
      <c r="F8" s="20" t="n">
        <v>2.30379468</v>
      </c>
      <c r="G8" s="18" t="n">
        <v>61.49437169</v>
      </c>
      <c r="H8" s="20" t="n">
        <v>2.83304364</v>
      </c>
      <c r="I8" s="18" t="s">
        <v>349</v>
      </c>
      <c r="J8" s="20" t="s">
        <v>349</v>
      </c>
      <c r="K8" s="18" t="n">
        <v>0.12425687</v>
      </c>
      <c r="L8" s="20" t="n">
        <v>0.12706903</v>
      </c>
      <c r="M8" s="18" t="n">
        <v>0</v>
      </c>
      <c r="N8" s="20" t="n">
        <v>0</v>
      </c>
      <c r="O8" s="18" t="n">
        <v>0</v>
      </c>
      <c r="P8" s="20" t="n">
        <v>0</v>
      </c>
      <c r="Q8" s="18" t="n">
        <v>8.51263865</v>
      </c>
      <c r="R8" s="20" t="n">
        <v>1.72211203</v>
      </c>
    </row>
    <row r="9" spans="1:18">
      <c r="A9" s="15" t="s">
        <v>351</v>
      </c>
      <c r="B9" s="17" t="n">
        <v>4752</v>
      </c>
      <c r="C9" s="18">
        <f>(4167.0/B9*100)</f>
        <v/>
      </c>
      <c r="D9" s="19" t="n">
        <v>585</v>
      </c>
      <c r="E9" s="18" t="n">
        <v>27.84686043</v>
      </c>
      <c r="F9" s="20" t="n">
        <v>1.64853168</v>
      </c>
      <c r="G9" s="18" t="n">
        <v>66.79213910999999</v>
      </c>
      <c r="H9" s="20" t="n">
        <v>1.87945485</v>
      </c>
      <c r="I9" s="18" t="s">
        <v>349</v>
      </c>
      <c r="J9" s="20" t="s">
        <v>349</v>
      </c>
      <c r="K9" s="18" t="n">
        <v>0.21855591</v>
      </c>
      <c r="L9" s="20" t="n">
        <v>0.21900217</v>
      </c>
      <c r="M9" s="18" t="n">
        <v>0</v>
      </c>
      <c r="N9" s="20" t="n">
        <v>0</v>
      </c>
      <c r="O9" s="18" t="n">
        <v>0</v>
      </c>
      <c r="P9" s="20" t="n">
        <v>0</v>
      </c>
      <c r="Q9" s="18" t="n">
        <v>5.14244455</v>
      </c>
      <c r="R9" s="20" t="n">
        <v>0.97001872</v>
      </c>
    </row>
    <row r="10" spans="1:18">
      <c r="A10" s="15" t="s">
        <v>352</v>
      </c>
      <c r="B10" s="17" t="n">
        <v>10022</v>
      </c>
      <c r="C10" s="18">
        <f>(8821.0/B10*100)</f>
        <v/>
      </c>
      <c r="D10" s="19" t="n">
        <v>1201</v>
      </c>
      <c r="E10" s="18" t="n">
        <v>21.56222549</v>
      </c>
      <c r="F10" s="20" t="n">
        <v>1.61125031</v>
      </c>
      <c r="G10" s="18" t="n">
        <v>75.85363021000001</v>
      </c>
      <c r="H10" s="20" t="n">
        <v>1.8112716</v>
      </c>
      <c r="I10" s="18" t="s">
        <v>349</v>
      </c>
      <c r="J10" s="20" t="s">
        <v>349</v>
      </c>
      <c r="K10" s="18" t="n">
        <v>0.04570746</v>
      </c>
      <c r="L10" s="20" t="n">
        <v>0.02825357</v>
      </c>
      <c r="M10" s="18" t="n">
        <v>0</v>
      </c>
      <c r="N10" s="20" t="n">
        <v>0</v>
      </c>
      <c r="O10" s="18" t="n">
        <v>0</v>
      </c>
      <c r="P10" s="20" t="n">
        <v>0</v>
      </c>
      <c r="Q10" s="18" t="n">
        <v>2.53843684</v>
      </c>
      <c r="R10" s="20" t="n">
        <v>0.73139806</v>
      </c>
    </row>
    <row r="11" spans="1:18">
      <c r="A11" s="15" t="s">
        <v>353</v>
      </c>
      <c r="B11" s="17" t="n">
        <v>3500</v>
      </c>
      <c r="C11" s="18">
        <f>(3078.0/B11*100)</f>
        <v/>
      </c>
      <c r="D11" s="19" t="n">
        <v>422</v>
      </c>
      <c r="E11" s="18" t="n">
        <v>35.9444477</v>
      </c>
      <c r="F11" s="20" t="n">
        <v>2.6560406</v>
      </c>
      <c r="G11" s="18" t="n">
        <v>55.78392876</v>
      </c>
      <c r="H11" s="20" t="n">
        <v>2.73284559</v>
      </c>
      <c r="I11" s="18" t="s">
        <v>349</v>
      </c>
      <c r="J11" s="20" t="s">
        <v>349</v>
      </c>
      <c r="K11" s="18" t="n">
        <v>0.15933286</v>
      </c>
      <c r="L11" s="20" t="n">
        <v>0.14603783</v>
      </c>
      <c r="M11" s="18" t="n">
        <v>0</v>
      </c>
      <c r="N11" s="20" t="n">
        <v>0</v>
      </c>
      <c r="O11" s="18" t="n">
        <v>0</v>
      </c>
      <c r="P11" s="20" t="n">
        <v>0</v>
      </c>
      <c r="Q11" s="18" t="n">
        <v>8.11229069</v>
      </c>
      <c r="R11" s="20" t="n">
        <v>1.55488427</v>
      </c>
    </row>
    <row r="12" spans="1:18">
      <c r="A12" s="15" t="s">
        <v>354</v>
      </c>
      <c r="B12" s="17" t="n">
        <v>3422</v>
      </c>
      <c r="C12" s="18">
        <f>(3001.0/B12*100)</f>
        <v/>
      </c>
      <c r="D12" s="19" t="n">
        <v>421</v>
      </c>
      <c r="E12" s="18" t="n">
        <v>22.60953235</v>
      </c>
      <c r="F12" s="20" t="n">
        <v>2.27743107</v>
      </c>
      <c r="G12" s="18" t="n">
        <v>72.65365306</v>
      </c>
      <c r="H12" s="20" t="n">
        <v>2.30014945</v>
      </c>
      <c r="I12" s="18" t="s">
        <v>349</v>
      </c>
      <c r="J12" s="20" t="s">
        <v>349</v>
      </c>
      <c r="K12" s="18" t="n">
        <v>0</v>
      </c>
      <c r="L12" s="20" t="n">
        <v>0</v>
      </c>
      <c r="M12" s="18" t="n">
        <v>0</v>
      </c>
      <c r="N12" s="20" t="n">
        <v>0</v>
      </c>
      <c r="O12" s="18" t="n">
        <v>0</v>
      </c>
      <c r="P12" s="20" t="n">
        <v>0</v>
      </c>
      <c r="Q12" s="18" t="n">
        <v>4.73681458</v>
      </c>
      <c r="R12" s="20" t="n">
        <v>1.15539438</v>
      </c>
    </row>
    <row r="13" spans="1:18">
      <c r="A13" s="15" t="s">
        <v>355</v>
      </c>
      <c r="B13" s="17" t="n">
        <v>3602</v>
      </c>
      <c r="C13" s="18">
        <f>(3198.0/B13*100)</f>
        <v/>
      </c>
      <c r="D13" s="19" t="n">
        <v>404</v>
      </c>
      <c r="E13" s="18" t="n">
        <v>27.88691705</v>
      </c>
      <c r="F13" s="20" t="n">
        <v>2.58732007</v>
      </c>
      <c r="G13" s="18" t="n">
        <v>64.69870917999999</v>
      </c>
      <c r="H13" s="20" t="n">
        <v>2.67635101</v>
      </c>
      <c r="I13" s="18" t="s">
        <v>349</v>
      </c>
      <c r="J13" s="20" t="s">
        <v>349</v>
      </c>
      <c r="K13" s="18" t="n">
        <v>0.5345922</v>
      </c>
      <c r="L13" s="20" t="n">
        <v>0.52895092</v>
      </c>
      <c r="M13" s="18" t="n">
        <v>0</v>
      </c>
      <c r="N13" s="20" t="n">
        <v>0</v>
      </c>
      <c r="O13" s="18" t="n">
        <v>0</v>
      </c>
      <c r="P13" s="20" t="n">
        <v>0</v>
      </c>
      <c r="Q13" s="18" t="n">
        <v>6.87978157</v>
      </c>
      <c r="R13" s="20" t="n">
        <v>1.11904139</v>
      </c>
    </row>
    <row r="14" spans="1:18">
      <c r="A14" s="15" t="s">
        <v>356</v>
      </c>
      <c r="B14" s="17" t="n">
        <v>2788</v>
      </c>
      <c r="C14" s="18">
        <f>(2433.0/B14*100)</f>
        <v/>
      </c>
      <c r="D14" s="19" t="n">
        <v>355</v>
      </c>
      <c r="E14" s="18" t="n">
        <v>18.81903724</v>
      </c>
      <c r="F14" s="20" t="n">
        <v>2.11761006</v>
      </c>
      <c r="G14" s="18" t="n">
        <v>80.15436357999999</v>
      </c>
      <c r="H14" s="20" t="n">
        <v>2.19506372</v>
      </c>
      <c r="I14" s="18" t="s">
        <v>349</v>
      </c>
      <c r="J14" s="20" t="s">
        <v>349</v>
      </c>
      <c r="K14" s="18" t="n">
        <v>0</v>
      </c>
      <c r="L14" s="20" t="n">
        <v>0</v>
      </c>
      <c r="M14" s="18" t="n">
        <v>0</v>
      </c>
      <c r="N14" s="20" t="n">
        <v>0</v>
      </c>
      <c r="O14" s="18" t="n">
        <v>0</v>
      </c>
      <c r="P14" s="20" t="n">
        <v>0</v>
      </c>
      <c r="Q14" s="18" t="n">
        <v>1.02659918</v>
      </c>
      <c r="R14" s="20" t="n">
        <v>0.52139757</v>
      </c>
    </row>
    <row r="15" spans="1:18">
      <c r="A15" s="15" t="s">
        <v>357</v>
      </c>
      <c r="B15" s="17" t="n">
        <v>2863</v>
      </c>
      <c r="C15" s="18">
        <f>(2495.0/B15*100)</f>
        <v/>
      </c>
      <c r="D15" s="19" t="n">
        <v>368</v>
      </c>
      <c r="E15" s="18" t="n">
        <v>24.32923816</v>
      </c>
      <c r="F15" s="20" t="n">
        <v>2.47494938</v>
      </c>
      <c r="G15" s="18" t="n">
        <v>73.97344563</v>
      </c>
      <c r="H15" s="20" t="n">
        <v>2.71510782</v>
      </c>
      <c r="I15" s="18" t="s">
        <v>349</v>
      </c>
      <c r="J15" s="20" t="s">
        <v>349</v>
      </c>
      <c r="K15" s="18" t="n">
        <v>0</v>
      </c>
      <c r="L15" s="20" t="n">
        <v>0</v>
      </c>
      <c r="M15" s="18" t="n">
        <v>0</v>
      </c>
      <c r="N15" s="20" t="n">
        <v>0</v>
      </c>
      <c r="O15" s="18" t="n">
        <v>0</v>
      </c>
      <c r="P15" s="20" t="n">
        <v>0</v>
      </c>
      <c r="Q15" s="18" t="n">
        <v>1.69731621</v>
      </c>
      <c r="R15" s="20" t="n">
        <v>0.81383852</v>
      </c>
    </row>
    <row r="16" spans="1:18">
      <c r="A16" s="15" t="s">
        <v>358</v>
      </c>
      <c r="B16" s="17" t="n">
        <v>3111</v>
      </c>
      <c r="C16" s="18">
        <f>(2729.0/B16*100)</f>
        <v/>
      </c>
      <c r="D16" s="19" t="n">
        <v>382</v>
      </c>
      <c r="E16" s="18" t="n">
        <v>31.78015202</v>
      </c>
      <c r="F16" s="20" t="n">
        <v>2.24186751</v>
      </c>
      <c r="G16" s="18" t="n">
        <v>61.23727285</v>
      </c>
      <c r="H16" s="20" t="n">
        <v>2.34025053</v>
      </c>
      <c r="I16" s="18" t="s">
        <v>349</v>
      </c>
      <c r="J16" s="20" t="s">
        <v>349</v>
      </c>
      <c r="K16" s="18" t="n">
        <v>0.28556963</v>
      </c>
      <c r="L16" s="20" t="n">
        <v>0.21718483</v>
      </c>
      <c r="M16" s="18" t="n">
        <v>0</v>
      </c>
      <c r="N16" s="20" t="n">
        <v>0</v>
      </c>
      <c r="O16" s="18" t="n">
        <v>0</v>
      </c>
      <c r="P16" s="20" t="n">
        <v>0</v>
      </c>
      <c r="Q16" s="18" t="n">
        <v>6.69700549</v>
      </c>
      <c r="R16" s="20" t="n">
        <v>1.35959536</v>
      </c>
    </row>
    <row r="17" spans="1:18">
      <c r="A17" s="15" t="s">
        <v>359</v>
      </c>
      <c r="B17" s="17" t="n">
        <v>3197</v>
      </c>
      <c r="C17" s="18">
        <f>(2812.0/B17*100)</f>
        <v/>
      </c>
      <c r="D17" s="19" t="n">
        <v>385</v>
      </c>
      <c r="E17" s="18" t="n">
        <v>24.33971295</v>
      </c>
      <c r="F17" s="20" t="n">
        <v>2.30596192</v>
      </c>
      <c r="G17" s="18" t="n">
        <v>70.28839755</v>
      </c>
      <c r="H17" s="20" t="n">
        <v>2.4565919</v>
      </c>
      <c r="I17" s="18" t="s">
        <v>349</v>
      </c>
      <c r="J17" s="20" t="s">
        <v>349</v>
      </c>
      <c r="K17" s="18" t="n">
        <v>0.51869264</v>
      </c>
      <c r="L17" s="20" t="n">
        <v>0.36796591</v>
      </c>
      <c r="M17" s="18" t="n">
        <v>0</v>
      </c>
      <c r="N17" s="20" t="n">
        <v>0</v>
      </c>
      <c r="O17" s="18" t="n">
        <v>0</v>
      </c>
      <c r="P17" s="20" t="n">
        <v>0</v>
      </c>
      <c r="Q17" s="18" t="n">
        <v>4.85319685</v>
      </c>
      <c r="R17" s="20" t="n">
        <v>1.13140113</v>
      </c>
    </row>
    <row r="18" spans="1:18">
      <c r="A18" s="15" t="s">
        <v>360</v>
      </c>
      <c r="B18" s="17" t="n">
        <v>2706</v>
      </c>
      <c r="C18" s="18">
        <f>(2388.0/B18*100)</f>
        <v/>
      </c>
      <c r="D18" s="19" t="n">
        <v>318</v>
      </c>
      <c r="E18" s="18" t="n">
        <v>34.32619865</v>
      </c>
      <c r="F18" s="20" t="n">
        <v>2.69201585</v>
      </c>
      <c r="G18" s="18" t="n">
        <v>55.17809909</v>
      </c>
      <c r="H18" s="20" t="n">
        <v>2.93964257</v>
      </c>
      <c r="I18" s="18" t="s">
        <v>349</v>
      </c>
      <c r="J18" s="20" t="s">
        <v>349</v>
      </c>
      <c r="K18" s="18" t="n">
        <v>1.1008349</v>
      </c>
      <c r="L18" s="20" t="n">
        <v>0.51741161</v>
      </c>
      <c r="M18" s="18" t="n">
        <v>0</v>
      </c>
      <c r="N18" s="20" t="n">
        <v>0</v>
      </c>
      <c r="O18" s="18" t="n">
        <v>0</v>
      </c>
      <c r="P18" s="20" t="n">
        <v>0</v>
      </c>
      <c r="Q18" s="18" t="n">
        <v>9.394867359999999</v>
      </c>
      <c r="R18" s="20" t="n">
        <v>2.08327905</v>
      </c>
    </row>
    <row r="19" spans="1:18">
      <c r="A19" s="15" t="s">
        <v>361</v>
      </c>
      <c r="B19" s="17" t="n">
        <v>2850</v>
      </c>
      <c r="C19" s="18">
        <f>(2488.0/B19*100)</f>
        <v/>
      </c>
      <c r="D19" s="19" t="n">
        <v>362</v>
      </c>
      <c r="E19" s="18" t="n">
        <v>28.57519258</v>
      </c>
      <c r="F19" s="20" t="n">
        <v>2.56747608</v>
      </c>
      <c r="G19" s="18" t="n">
        <v>65.87485169999999</v>
      </c>
      <c r="H19" s="20" t="n">
        <v>2.90461072</v>
      </c>
      <c r="I19" s="18" t="s">
        <v>349</v>
      </c>
      <c r="J19" s="20" t="s">
        <v>349</v>
      </c>
      <c r="K19" s="18" t="n">
        <v>0</v>
      </c>
      <c r="L19" s="20" t="n">
        <v>0</v>
      </c>
      <c r="M19" s="18" t="n">
        <v>0</v>
      </c>
      <c r="N19" s="20" t="n">
        <v>0</v>
      </c>
      <c r="O19" s="18" t="n">
        <v>0</v>
      </c>
      <c r="P19" s="20" t="n">
        <v>0</v>
      </c>
      <c r="Q19" s="18" t="n">
        <v>5.54995572</v>
      </c>
      <c r="R19" s="20" t="n">
        <v>1.58905806</v>
      </c>
    </row>
    <row r="20" spans="1:18">
      <c r="A20" s="15" t="s">
        <v>362</v>
      </c>
      <c r="B20" s="17" t="n">
        <v>1741</v>
      </c>
      <c r="C20" s="18">
        <f>(1514.0/B20*100)</f>
        <v/>
      </c>
      <c r="D20" s="19" t="n">
        <v>227</v>
      </c>
      <c r="E20" s="18" t="n">
        <v>20.89711354</v>
      </c>
      <c r="F20" s="20" t="n">
        <v>2.7165369</v>
      </c>
      <c r="G20" s="18" t="n">
        <v>68.5577121</v>
      </c>
      <c r="H20" s="20" t="n">
        <v>3.26349313</v>
      </c>
      <c r="I20" s="18" t="s">
        <v>349</v>
      </c>
      <c r="J20" s="20" t="s">
        <v>349</v>
      </c>
      <c r="K20" s="18" t="n">
        <v>0</v>
      </c>
      <c r="L20" s="20" t="n">
        <v>0</v>
      </c>
      <c r="M20" s="18" t="n">
        <v>0</v>
      </c>
      <c r="N20" s="20" t="n">
        <v>0</v>
      </c>
      <c r="O20" s="18" t="n">
        <v>0</v>
      </c>
      <c r="P20" s="20" t="n">
        <v>0</v>
      </c>
      <c r="Q20" s="18" t="n">
        <v>10.54517436</v>
      </c>
      <c r="R20" s="20" t="n">
        <v>2.39653057</v>
      </c>
    </row>
    <row r="21" spans="1:18">
      <c r="A21" s="15" t="s">
        <v>363</v>
      </c>
      <c r="B21" s="17" t="n">
        <v>2833</v>
      </c>
      <c r="C21" s="18">
        <f>(2373.0/B21*100)</f>
        <v/>
      </c>
      <c r="D21" s="19" t="n">
        <v>460</v>
      </c>
      <c r="E21" s="18" t="n">
        <v>24.42635071</v>
      </c>
      <c r="F21" s="20" t="n">
        <v>2.15431042</v>
      </c>
      <c r="G21" s="18" t="n">
        <v>73.81183713</v>
      </c>
      <c r="H21" s="20" t="n">
        <v>2.2009478</v>
      </c>
      <c r="I21" s="18" t="s">
        <v>349</v>
      </c>
      <c r="J21" s="20" t="s">
        <v>349</v>
      </c>
      <c r="K21" s="18" t="n">
        <v>0.18296283</v>
      </c>
      <c r="L21" s="20" t="n">
        <v>0.18115617</v>
      </c>
      <c r="M21" s="18" t="n">
        <v>0</v>
      </c>
      <c r="N21" s="20" t="n">
        <v>0</v>
      </c>
      <c r="O21" s="18" t="n">
        <v>0</v>
      </c>
      <c r="P21" s="20" t="n">
        <v>0</v>
      </c>
      <c r="Q21" s="18" t="n">
        <v>1.57884933</v>
      </c>
      <c r="R21" s="20" t="n">
        <v>0.55819022</v>
      </c>
    </row>
    <row r="22" spans="1:18">
      <c r="A22" s="15" t="s">
        <v>364</v>
      </c>
      <c r="B22" s="17" t="n">
        <v>3667</v>
      </c>
      <c r="C22" s="18">
        <f>(3198.0/B22*100)</f>
        <v/>
      </c>
      <c r="D22" s="19" t="n">
        <v>469</v>
      </c>
      <c r="E22" s="18" t="n">
        <v>37.20177875</v>
      </c>
      <c r="F22" s="20" t="n">
        <v>2.58190239</v>
      </c>
      <c r="G22" s="18" t="n">
        <v>49.33081879</v>
      </c>
      <c r="H22" s="20" t="n">
        <v>2.74461393</v>
      </c>
      <c r="I22" s="18" t="s">
        <v>349</v>
      </c>
      <c r="J22" s="20" t="s">
        <v>349</v>
      </c>
      <c r="K22" s="18" t="n">
        <v>0.38404752</v>
      </c>
      <c r="L22" s="20" t="n">
        <v>0.26899377</v>
      </c>
      <c r="M22" s="18" t="n">
        <v>0</v>
      </c>
      <c r="N22" s="20" t="n">
        <v>0</v>
      </c>
      <c r="O22" s="18" t="n">
        <v>0</v>
      </c>
      <c r="P22" s="20" t="n">
        <v>0</v>
      </c>
      <c r="Q22" s="18" t="n">
        <v>13.08335494</v>
      </c>
      <c r="R22" s="20" t="n">
        <v>1.85972722</v>
      </c>
    </row>
    <row r="23" spans="1:18">
      <c r="A23" s="15" t="s">
        <v>365</v>
      </c>
      <c r="B23" s="17" t="n">
        <v>5792</v>
      </c>
      <c r="C23" s="18">
        <f>(5050.0/B23*100)</f>
        <v/>
      </c>
      <c r="D23" s="19" t="n">
        <v>742</v>
      </c>
      <c r="E23" s="18" t="n">
        <v>24.57453868</v>
      </c>
      <c r="F23" s="20" t="n">
        <v>2.42731639</v>
      </c>
      <c r="G23" s="18" t="n">
        <v>69.35309931</v>
      </c>
      <c r="H23" s="20" t="n">
        <v>2.80557017</v>
      </c>
      <c r="I23" s="18" t="s">
        <v>349</v>
      </c>
      <c r="J23" s="20" t="s">
        <v>349</v>
      </c>
      <c r="K23" s="18" t="n">
        <v>0.6913554</v>
      </c>
      <c r="L23" s="20" t="n">
        <v>0.51043993</v>
      </c>
      <c r="M23" s="18" t="n">
        <v>0</v>
      </c>
      <c r="N23" s="20" t="n">
        <v>0</v>
      </c>
      <c r="O23" s="18" t="n">
        <v>0</v>
      </c>
      <c r="P23" s="20" t="n">
        <v>0</v>
      </c>
      <c r="Q23" s="18" t="n">
        <v>5.38100661</v>
      </c>
      <c r="R23" s="20" t="n">
        <v>1.30255636</v>
      </c>
    </row>
    <row r="24" spans="1:18">
      <c r="A24" s="15" t="s">
        <v>366</v>
      </c>
      <c r="B24" s="17" t="n">
        <v>3309</v>
      </c>
      <c r="C24" s="18">
        <f>(2879.0/B24*100)</f>
        <v/>
      </c>
      <c r="D24" s="19" t="n">
        <v>430</v>
      </c>
      <c r="E24" s="18" t="n">
        <v>27.8630888</v>
      </c>
      <c r="F24" s="20" t="n">
        <v>2.37040185</v>
      </c>
      <c r="G24" s="18" t="n">
        <v>69.95345863</v>
      </c>
      <c r="H24" s="20" t="n">
        <v>2.46655986</v>
      </c>
      <c r="I24" s="18" t="s">
        <v>349</v>
      </c>
      <c r="J24" s="20" t="s">
        <v>349</v>
      </c>
      <c r="K24" s="18" t="n">
        <v>0.21167747</v>
      </c>
      <c r="L24" s="20" t="n">
        <v>0.21105498</v>
      </c>
      <c r="M24" s="18" t="n">
        <v>0</v>
      </c>
      <c r="N24" s="20" t="n">
        <v>0</v>
      </c>
      <c r="O24" s="18" t="n">
        <v>0</v>
      </c>
      <c r="P24" s="20" t="n">
        <v>0</v>
      </c>
      <c r="Q24" s="18" t="n">
        <v>1.97177509</v>
      </c>
      <c r="R24" s="20" t="n">
        <v>0.60516293</v>
      </c>
    </row>
    <row r="25" spans="1:18">
      <c r="A25" s="15" t="s">
        <v>367</v>
      </c>
      <c r="B25" s="17" t="n">
        <v>2669</v>
      </c>
      <c r="C25" s="18">
        <f>(2340.0/B25*100)</f>
        <v/>
      </c>
      <c r="D25" s="19" t="n">
        <v>329</v>
      </c>
      <c r="E25" s="18" t="n">
        <v>19.31877739</v>
      </c>
      <c r="F25" s="20" t="n">
        <v>1.97904485</v>
      </c>
      <c r="G25" s="18" t="n">
        <v>78.88352101</v>
      </c>
      <c r="H25" s="20" t="n">
        <v>2.25440802</v>
      </c>
      <c r="I25" s="18" t="s">
        <v>349</v>
      </c>
      <c r="J25" s="20" t="s">
        <v>349</v>
      </c>
      <c r="K25" s="18" t="n">
        <v>0</v>
      </c>
      <c r="L25" s="20" t="n">
        <v>0</v>
      </c>
      <c r="M25" s="18" t="n">
        <v>0</v>
      </c>
      <c r="N25" s="20" t="n">
        <v>0</v>
      </c>
      <c r="O25" s="18" t="n">
        <v>0</v>
      </c>
      <c r="P25" s="20" t="n">
        <v>0</v>
      </c>
      <c r="Q25" s="18" t="n">
        <v>1.7977016</v>
      </c>
      <c r="R25" s="20" t="n">
        <v>0.7330436</v>
      </c>
    </row>
    <row r="26" spans="1:18">
      <c r="A26" s="15" t="s">
        <v>368</v>
      </c>
      <c r="B26" s="17" t="n">
        <v>2419</v>
      </c>
      <c r="C26" s="18">
        <f>(2121.0/B26*100)</f>
        <v/>
      </c>
      <c r="D26" s="19" t="n">
        <v>298</v>
      </c>
      <c r="E26" s="18" t="n">
        <v>25.2980921</v>
      </c>
      <c r="F26" s="20" t="n">
        <v>2.61928146</v>
      </c>
      <c r="G26" s="18" t="n">
        <v>71.63638276</v>
      </c>
      <c r="H26" s="20" t="n">
        <v>2.66760397</v>
      </c>
      <c r="I26" s="18" t="s">
        <v>349</v>
      </c>
      <c r="J26" s="20" t="s">
        <v>349</v>
      </c>
      <c r="K26" s="18" t="n">
        <v>0</v>
      </c>
      <c r="L26" s="20" t="n">
        <v>0</v>
      </c>
      <c r="M26" s="18" t="n">
        <v>0</v>
      </c>
      <c r="N26" s="20" t="n">
        <v>0</v>
      </c>
      <c r="O26" s="18" t="n">
        <v>0</v>
      </c>
      <c r="P26" s="20" t="n">
        <v>0</v>
      </c>
      <c r="Q26" s="18" t="n">
        <v>3.06552514</v>
      </c>
      <c r="R26" s="20" t="n">
        <v>0.83069137</v>
      </c>
    </row>
    <row r="27" spans="1:18">
      <c r="A27" s="15" t="s">
        <v>369</v>
      </c>
      <c r="B27" s="17" t="n">
        <v>2683</v>
      </c>
      <c r="C27" s="18">
        <f>(2363.0/B27*100)</f>
        <v/>
      </c>
      <c r="D27" s="19" t="n">
        <v>320</v>
      </c>
      <c r="E27" s="18" t="n">
        <v>28.15621954</v>
      </c>
      <c r="F27" s="20" t="n">
        <v>2.49625154</v>
      </c>
      <c r="G27" s="18" t="n">
        <v>66.48940112</v>
      </c>
      <c r="H27" s="20" t="n">
        <v>2.68573245</v>
      </c>
      <c r="I27" s="18" t="s">
        <v>349</v>
      </c>
      <c r="J27" s="20" t="s">
        <v>349</v>
      </c>
      <c r="K27" s="18" t="n">
        <v>0</v>
      </c>
      <c r="L27" s="20" t="n">
        <v>0</v>
      </c>
      <c r="M27" s="18" t="n">
        <v>0</v>
      </c>
      <c r="N27" s="20" t="n">
        <v>0</v>
      </c>
      <c r="O27" s="18" t="n">
        <v>0</v>
      </c>
      <c r="P27" s="20" t="n">
        <v>0</v>
      </c>
      <c r="Q27" s="18" t="n">
        <v>5.35437934</v>
      </c>
      <c r="R27" s="20" t="n">
        <v>1.28317762</v>
      </c>
    </row>
    <row r="28" spans="1:18">
      <c r="A28" s="15" t="s">
        <v>370</v>
      </c>
      <c r="B28" s="17" t="n">
        <v>3803</v>
      </c>
      <c r="C28" s="18">
        <f>(3345.0/B28*100)</f>
        <v/>
      </c>
      <c r="D28" s="19" t="n">
        <v>458</v>
      </c>
      <c r="E28" s="18" t="n">
        <v>50.44383202</v>
      </c>
      <c r="F28" s="20" t="n">
        <v>2.21843007</v>
      </c>
      <c r="G28" s="18" t="n">
        <v>42.94103944</v>
      </c>
      <c r="H28" s="20" t="n">
        <v>2.38014237</v>
      </c>
      <c r="I28" s="18" t="s">
        <v>349</v>
      </c>
      <c r="J28" s="20" t="s">
        <v>349</v>
      </c>
      <c r="K28" s="18" t="n">
        <v>0</v>
      </c>
      <c r="L28" s="20" t="n">
        <v>0</v>
      </c>
      <c r="M28" s="18" t="n">
        <v>0</v>
      </c>
      <c r="N28" s="20" t="n">
        <v>0</v>
      </c>
      <c r="O28" s="18" t="n">
        <v>0</v>
      </c>
      <c r="P28" s="20" t="n">
        <v>0</v>
      </c>
      <c r="Q28" s="18" t="n">
        <v>6.61512854</v>
      </c>
      <c r="R28" s="20" t="n">
        <v>1.37889351</v>
      </c>
    </row>
    <row r="29" spans="1:18">
      <c r="A29" s="15" t="s">
        <v>371</v>
      </c>
      <c r="B29" s="17" t="n">
        <v>2700</v>
      </c>
      <c r="C29" s="18">
        <f>(2388.0/B29*100)</f>
        <v/>
      </c>
      <c r="D29" s="19" t="n">
        <v>312</v>
      </c>
      <c r="E29" s="18" t="n">
        <v>23.33969636</v>
      </c>
      <c r="F29" s="20" t="n">
        <v>2.3384044</v>
      </c>
      <c r="G29" s="18" t="n">
        <v>72.95388506</v>
      </c>
      <c r="H29" s="20" t="n">
        <v>2.4539207</v>
      </c>
      <c r="I29" s="18" t="s">
        <v>349</v>
      </c>
      <c r="J29" s="20" t="s">
        <v>349</v>
      </c>
      <c r="K29" s="18" t="n">
        <v>0</v>
      </c>
      <c r="L29" s="20" t="n">
        <v>0</v>
      </c>
      <c r="M29" s="18" t="n">
        <v>0</v>
      </c>
      <c r="N29" s="20" t="n">
        <v>0</v>
      </c>
      <c r="O29" s="18" t="n">
        <v>0</v>
      </c>
      <c r="P29" s="20" t="n">
        <v>0</v>
      </c>
      <c r="Q29" s="18" t="n">
        <v>3.70641857</v>
      </c>
      <c r="R29" s="20" t="n">
        <v>1.35003466</v>
      </c>
    </row>
    <row r="30" spans="1:18">
      <c r="A30" s="15" t="s">
        <v>372</v>
      </c>
      <c r="B30" s="17" t="n">
        <v>2257</v>
      </c>
      <c r="C30" s="18">
        <f>(1964.0/B30*100)</f>
        <v/>
      </c>
      <c r="D30" s="19" t="n">
        <v>293</v>
      </c>
      <c r="E30" s="18" t="n">
        <v>30.17313856</v>
      </c>
      <c r="F30" s="20" t="n">
        <v>2.55283742</v>
      </c>
      <c r="G30" s="18" t="n">
        <v>63.88025999</v>
      </c>
      <c r="H30" s="20" t="n">
        <v>2.71879932</v>
      </c>
      <c r="I30" s="18" t="s">
        <v>349</v>
      </c>
      <c r="J30" s="20" t="s">
        <v>349</v>
      </c>
      <c r="K30" s="18" t="n">
        <v>0.32303938</v>
      </c>
      <c r="L30" s="20" t="n">
        <v>0.28825078</v>
      </c>
      <c r="M30" s="18" t="n">
        <v>0</v>
      </c>
      <c r="N30" s="20" t="n">
        <v>0</v>
      </c>
      <c r="O30" s="18" t="n">
        <v>0</v>
      </c>
      <c r="P30" s="20" t="n">
        <v>0</v>
      </c>
      <c r="Q30" s="18" t="n">
        <v>5.62356208</v>
      </c>
      <c r="R30" s="20" t="n">
        <v>1.40958431</v>
      </c>
    </row>
    <row r="31" spans="1:18">
      <c r="A31" s="15" t="s">
        <v>373</v>
      </c>
      <c r="B31" s="17" t="n">
        <v>2706</v>
      </c>
      <c r="C31" s="18">
        <f>(2369.0/B31*100)</f>
        <v/>
      </c>
      <c r="D31" s="19" t="n">
        <v>337</v>
      </c>
      <c r="E31" s="18" t="n">
        <v>29.27778</v>
      </c>
      <c r="F31" s="20" t="n">
        <v>2.31451715</v>
      </c>
      <c r="G31" s="18" t="n">
        <v>66.38724597</v>
      </c>
      <c r="H31" s="20" t="n">
        <v>2.38184866</v>
      </c>
      <c r="I31" s="18" t="s">
        <v>349</v>
      </c>
      <c r="J31" s="20" t="s">
        <v>349</v>
      </c>
      <c r="K31" s="18" t="n">
        <v>0.6394502</v>
      </c>
      <c r="L31" s="20" t="n">
        <v>0.44337802</v>
      </c>
      <c r="M31" s="18" t="n">
        <v>0</v>
      </c>
      <c r="N31" s="20" t="n">
        <v>0</v>
      </c>
      <c r="O31" s="18" t="n">
        <v>0</v>
      </c>
      <c r="P31" s="20" t="n">
        <v>0</v>
      </c>
      <c r="Q31" s="18" t="n">
        <v>3.69552382</v>
      </c>
      <c r="R31" s="20" t="n">
        <v>0.95218865</v>
      </c>
    </row>
    <row r="32" spans="1:18">
      <c r="A32" s="15" t="s">
        <v>374</v>
      </c>
      <c r="B32" s="17" t="n">
        <v>2209</v>
      </c>
      <c r="C32" s="18">
        <f>(1855.0/B32*100)</f>
        <v/>
      </c>
      <c r="D32" s="19" t="n">
        <v>354</v>
      </c>
      <c r="E32" s="18" t="n">
        <v>33.84665882</v>
      </c>
      <c r="F32" s="20" t="n">
        <v>2.45137159</v>
      </c>
      <c r="G32" s="18" t="n">
        <v>64.20814426</v>
      </c>
      <c r="H32" s="20" t="n">
        <v>2.62966605</v>
      </c>
      <c r="I32" s="18" t="s">
        <v>349</v>
      </c>
      <c r="J32" s="20" t="s">
        <v>349</v>
      </c>
      <c r="K32" s="18" t="n">
        <v>0</v>
      </c>
      <c r="L32" s="20" t="n">
        <v>0</v>
      </c>
      <c r="M32" s="18" t="n">
        <v>0</v>
      </c>
      <c r="N32" s="20" t="n">
        <v>0</v>
      </c>
      <c r="O32" s="18" t="n">
        <v>0</v>
      </c>
      <c r="P32" s="20" t="n">
        <v>0</v>
      </c>
      <c r="Q32" s="18" t="n">
        <v>1.94519692</v>
      </c>
      <c r="R32" s="20" t="n">
        <v>0.72325164</v>
      </c>
    </row>
    <row r="33" spans="1:18">
      <c r="A33" s="15" t="s">
        <v>375</v>
      </c>
      <c r="B33" s="17" t="n">
        <v>3651</v>
      </c>
      <c r="C33" s="18">
        <f>(3205.0/B33*100)</f>
        <v/>
      </c>
      <c r="D33" s="19" t="n">
        <v>446</v>
      </c>
      <c r="E33" s="18" t="n">
        <v>32.40738942</v>
      </c>
      <c r="F33" s="20" t="n">
        <v>2.65119367</v>
      </c>
      <c r="G33" s="18" t="n">
        <v>61.86634627</v>
      </c>
      <c r="H33" s="20" t="n">
        <v>2.61996237</v>
      </c>
      <c r="I33" s="18" t="s">
        <v>349</v>
      </c>
      <c r="J33" s="20" t="s">
        <v>349</v>
      </c>
      <c r="K33" s="18" t="n">
        <v>0</v>
      </c>
      <c r="L33" s="20" t="n">
        <v>0</v>
      </c>
      <c r="M33" s="18" t="n">
        <v>0</v>
      </c>
      <c r="N33" s="20" t="n">
        <v>0</v>
      </c>
      <c r="O33" s="18" t="n">
        <v>0</v>
      </c>
      <c r="P33" s="20" t="n">
        <v>0</v>
      </c>
      <c r="Q33" s="18" t="n">
        <v>5.72626432</v>
      </c>
      <c r="R33" s="20" t="n">
        <v>1.73154953</v>
      </c>
    </row>
    <row r="34" spans="1:18">
      <c r="A34" s="15" t="s">
        <v>376</v>
      </c>
      <c r="B34" s="17" t="n">
        <v>3035</v>
      </c>
      <c r="C34" s="18">
        <f>(2672.0/B34*100)</f>
        <v/>
      </c>
      <c r="D34" s="19" t="n">
        <v>363</v>
      </c>
      <c r="E34" s="18" t="n">
        <v>30.86314002</v>
      </c>
      <c r="F34" s="20" t="n">
        <v>2.64124497</v>
      </c>
      <c r="G34" s="18" t="n">
        <v>64.17011699</v>
      </c>
      <c r="H34" s="20" t="n">
        <v>2.85815795</v>
      </c>
      <c r="I34" s="18" t="s">
        <v>349</v>
      </c>
      <c r="J34" s="20" t="s">
        <v>349</v>
      </c>
      <c r="K34" s="18" t="n">
        <v>0</v>
      </c>
      <c r="L34" s="20" t="n">
        <v>0</v>
      </c>
      <c r="M34" s="18" t="n">
        <v>0</v>
      </c>
      <c r="N34" s="20" t="n">
        <v>0</v>
      </c>
      <c r="O34" s="18" t="n">
        <v>0</v>
      </c>
      <c r="P34" s="20" t="n">
        <v>0</v>
      </c>
      <c r="Q34" s="18" t="n">
        <v>4.96674299</v>
      </c>
      <c r="R34" s="20" t="n">
        <v>1.19368387</v>
      </c>
    </row>
    <row r="35" spans="1:18">
      <c r="A35" s="15" t="s">
        <v>377</v>
      </c>
      <c r="B35" s="17" t="n">
        <v>2901</v>
      </c>
      <c r="C35" s="18">
        <f>(2545.0/B35*100)</f>
        <v/>
      </c>
      <c r="D35" s="19" t="n">
        <v>356</v>
      </c>
      <c r="E35" s="18" t="n">
        <v>27.70396073</v>
      </c>
      <c r="F35" s="20" t="n">
        <v>3.03874553</v>
      </c>
      <c r="G35" s="18" t="n">
        <v>69.69878586</v>
      </c>
      <c r="H35" s="20" t="n">
        <v>3.02832943</v>
      </c>
      <c r="I35" s="18" t="s">
        <v>349</v>
      </c>
      <c r="J35" s="20" t="s">
        <v>349</v>
      </c>
      <c r="K35" s="18" t="n">
        <v>0</v>
      </c>
      <c r="L35" s="20" t="n">
        <v>0</v>
      </c>
      <c r="M35" s="18" t="n">
        <v>0</v>
      </c>
      <c r="N35" s="20" t="n">
        <v>0</v>
      </c>
      <c r="O35" s="18" t="n">
        <v>0</v>
      </c>
      <c r="P35" s="20" t="n">
        <v>0</v>
      </c>
      <c r="Q35" s="18" t="n">
        <v>2.59725341</v>
      </c>
      <c r="R35" s="20" t="n">
        <v>0.93333047</v>
      </c>
    </row>
    <row r="36" spans="1:18">
      <c r="A36" s="15" t="s">
        <v>378</v>
      </c>
      <c r="B36" s="17" t="n">
        <v>3404</v>
      </c>
      <c r="C36" s="18">
        <f>(2999.0/B36*100)</f>
        <v/>
      </c>
      <c r="D36" s="19" t="n">
        <v>405</v>
      </c>
      <c r="E36" s="18" t="n">
        <v>30.2160107</v>
      </c>
      <c r="F36" s="20" t="n">
        <v>2.65013425</v>
      </c>
      <c r="G36" s="18" t="n">
        <v>64.23423064000001</v>
      </c>
      <c r="H36" s="20" t="n">
        <v>2.52607114</v>
      </c>
      <c r="I36" s="18" t="s">
        <v>349</v>
      </c>
      <c r="J36" s="20" t="s">
        <v>349</v>
      </c>
      <c r="K36" s="18" t="n">
        <v>0.37515394</v>
      </c>
      <c r="L36" s="20" t="n">
        <v>0.38415819</v>
      </c>
      <c r="M36" s="18" t="n">
        <v>0</v>
      </c>
      <c r="N36" s="20" t="n">
        <v>0</v>
      </c>
      <c r="O36" s="18" t="n">
        <v>0</v>
      </c>
      <c r="P36" s="20" t="n">
        <v>0</v>
      </c>
      <c r="Q36" s="18" t="n">
        <v>5.17460473</v>
      </c>
      <c r="R36" s="20" t="n">
        <v>1.19635096</v>
      </c>
    </row>
    <row r="37" spans="1:18">
      <c r="A37" s="15" t="s">
        <v>379</v>
      </c>
      <c r="B37" s="17" t="n">
        <v>2731</v>
      </c>
      <c r="C37" s="18">
        <f>(2411.0/B37*100)</f>
        <v/>
      </c>
      <c r="D37" s="19" t="n">
        <v>320</v>
      </c>
      <c r="E37" s="18" t="n">
        <v>24.07978094</v>
      </c>
      <c r="F37" s="20" t="n">
        <v>2.79315548</v>
      </c>
      <c r="G37" s="18" t="n">
        <v>68.06003174</v>
      </c>
      <c r="H37" s="20" t="n">
        <v>3.31726852</v>
      </c>
      <c r="I37" s="18" t="s">
        <v>349</v>
      </c>
      <c r="J37" s="20" t="s">
        <v>349</v>
      </c>
      <c r="K37" s="18" t="n">
        <v>0.94256157</v>
      </c>
      <c r="L37" s="20" t="n">
        <v>0.53557946</v>
      </c>
      <c r="M37" s="18" t="n">
        <v>0</v>
      </c>
      <c r="N37" s="20" t="n">
        <v>0</v>
      </c>
      <c r="O37" s="18" t="n">
        <v>0</v>
      </c>
      <c r="P37" s="20" t="n">
        <v>0</v>
      </c>
      <c r="Q37" s="18" t="n">
        <v>6.91762574</v>
      </c>
      <c r="R37" s="20" t="n">
        <v>1.53948214</v>
      </c>
    </row>
    <row r="38" spans="1:18">
      <c r="A38" s="15" t="s">
        <v>380</v>
      </c>
      <c r="B38" s="17" t="n">
        <v>2807</v>
      </c>
      <c r="C38" s="18">
        <f>(2341.0/B38*100)</f>
        <v/>
      </c>
      <c r="D38" s="19" t="n">
        <v>466</v>
      </c>
      <c r="E38" s="18" t="n">
        <v>23.86973471</v>
      </c>
      <c r="F38" s="20" t="n">
        <v>1.99134127</v>
      </c>
      <c r="G38" s="18" t="n">
        <v>69.59001659</v>
      </c>
      <c r="H38" s="20" t="n">
        <v>2.40849441</v>
      </c>
      <c r="I38" s="18" t="s">
        <v>349</v>
      </c>
      <c r="J38" s="20" t="s">
        <v>349</v>
      </c>
      <c r="K38" s="18" t="n">
        <v>0.70542385</v>
      </c>
      <c r="L38" s="20" t="n">
        <v>0.40436001</v>
      </c>
      <c r="M38" s="18" t="n">
        <v>0</v>
      </c>
      <c r="N38" s="20" t="n">
        <v>0</v>
      </c>
      <c r="O38" s="18" t="n">
        <v>0</v>
      </c>
      <c r="P38" s="20" t="n">
        <v>0</v>
      </c>
      <c r="Q38" s="18" t="n">
        <v>5.83482484</v>
      </c>
      <c r="R38" s="20" t="n">
        <v>1.25935884</v>
      </c>
    </row>
    <row r="39" spans="1:18">
      <c r="A39" s="15" t="s">
        <v>381</v>
      </c>
      <c r="B39" s="17" t="n">
        <v>2938</v>
      </c>
      <c r="C39" s="18">
        <f>(2578.0/B39*100)</f>
        <v/>
      </c>
      <c r="D39" s="19" t="n">
        <v>360</v>
      </c>
      <c r="E39" s="18" t="n">
        <v>51.61402746</v>
      </c>
      <c r="F39" s="20" t="n">
        <v>3.52764933</v>
      </c>
      <c r="G39" s="18" t="n">
        <v>41.32535746</v>
      </c>
      <c r="H39" s="20" t="n">
        <v>3.62029098</v>
      </c>
      <c r="I39" s="18" t="s">
        <v>349</v>
      </c>
      <c r="J39" s="20" t="s">
        <v>349</v>
      </c>
      <c r="K39" s="18" t="n">
        <v>0.59949208</v>
      </c>
      <c r="L39" s="20" t="n">
        <v>0.48145623</v>
      </c>
      <c r="M39" s="18" t="n">
        <v>0</v>
      </c>
      <c r="N39" s="20" t="n">
        <v>0</v>
      </c>
      <c r="O39" s="18" t="n">
        <v>0</v>
      </c>
      <c r="P39" s="20" t="n">
        <v>0</v>
      </c>
      <c r="Q39" s="18" t="n">
        <v>6.461123</v>
      </c>
      <c r="R39" s="20" t="n">
        <v>1.6319511</v>
      </c>
    </row>
    <row r="40" spans="1:18">
      <c r="A40" s="15" t="s">
        <v>382</v>
      </c>
      <c r="B40" s="17" t="n">
        <v>6922</v>
      </c>
      <c r="C40" s="18">
        <f>(6075.0/B40*100)</f>
        <v/>
      </c>
      <c r="D40" s="19" t="n">
        <v>847</v>
      </c>
      <c r="E40" s="18" t="n">
        <v>27.63975228</v>
      </c>
      <c r="F40" s="20" t="n">
        <v>2.58004995</v>
      </c>
      <c r="G40" s="18" t="n">
        <v>69.82307256999999</v>
      </c>
      <c r="H40" s="20" t="n">
        <v>2.60975501</v>
      </c>
      <c r="I40" s="18" t="s">
        <v>349</v>
      </c>
      <c r="J40" s="20" t="s">
        <v>349</v>
      </c>
      <c r="K40" s="18" t="n">
        <v>0.02972195</v>
      </c>
      <c r="L40" s="20" t="n">
        <v>0.03574795</v>
      </c>
      <c r="M40" s="18" t="n">
        <v>0</v>
      </c>
      <c r="N40" s="20" t="n">
        <v>0</v>
      </c>
      <c r="O40" s="18" t="n">
        <v>0</v>
      </c>
      <c r="P40" s="20" t="n">
        <v>0</v>
      </c>
      <c r="Q40" s="18" t="n">
        <v>2.5074532</v>
      </c>
      <c r="R40" s="20" t="n">
        <v>0.61677117</v>
      </c>
    </row>
    <row r="41" spans="1:18">
      <c r="A41" s="15" t="s">
        <v>383</v>
      </c>
      <c r="B41" s="17" t="n">
        <v>2854</v>
      </c>
      <c r="C41" s="18">
        <f>(2505.0/B41*100)</f>
        <v/>
      </c>
      <c r="D41" s="19" t="n">
        <v>349</v>
      </c>
      <c r="E41" s="18" t="n">
        <v>29.21702273</v>
      </c>
      <c r="F41" s="20" t="n">
        <v>2.81534272</v>
      </c>
      <c r="G41" s="18" t="n">
        <v>67.51787374</v>
      </c>
      <c r="H41" s="20" t="n">
        <v>2.60745259</v>
      </c>
      <c r="I41" s="18" t="s">
        <v>349</v>
      </c>
      <c r="J41" s="20" t="s">
        <v>349</v>
      </c>
      <c r="K41" s="18" t="n">
        <v>0.32936972</v>
      </c>
      <c r="L41" s="20" t="n">
        <v>0.33608077</v>
      </c>
      <c r="M41" s="18" t="n">
        <v>0</v>
      </c>
      <c r="N41" s="20" t="n">
        <v>0</v>
      </c>
      <c r="O41" s="18" t="n">
        <v>0</v>
      </c>
      <c r="P41" s="20" t="n">
        <v>0</v>
      </c>
      <c r="Q41" s="18" t="n">
        <v>2.93573381</v>
      </c>
      <c r="R41" s="20" t="n">
        <v>0.84558422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(10684.0/B46*100)</f>
        <v/>
      </c>
      <c r="D46" s="19" t="n">
        <v>1389</v>
      </c>
      <c r="E46" s="18" t="n">
        <v>44.34177859</v>
      </c>
      <c r="F46" s="20" t="n">
        <v>2.10271097</v>
      </c>
      <c r="G46" s="18" t="n">
        <v>39.53463131</v>
      </c>
      <c r="H46" s="20" t="n">
        <v>1.9116917</v>
      </c>
      <c r="I46" s="18" t="s">
        <v>349</v>
      </c>
      <c r="J46" s="20" t="s">
        <v>349</v>
      </c>
      <c r="K46" s="18" t="n">
        <v>0.81296305</v>
      </c>
      <c r="L46" s="20" t="n">
        <v>0.28814188</v>
      </c>
      <c r="M46" s="18" t="n">
        <v>0</v>
      </c>
      <c r="N46" s="20" t="n">
        <v>0</v>
      </c>
      <c r="O46" s="18" t="n">
        <v>0</v>
      </c>
      <c r="P46" s="20" t="n">
        <v>0</v>
      </c>
      <c r="Q46" s="18" t="n">
        <v>15.31062705</v>
      </c>
      <c r="R46" s="20" t="n">
        <v>1.12321465</v>
      </c>
    </row>
    <row r="47" spans="1:18">
      <c r="A47" s="15" t="s">
        <v>389</v>
      </c>
      <c r="B47" s="17" t="n">
        <v>2823</v>
      </c>
      <c r="C47" s="18">
        <f>(2482.0/B47*100)</f>
        <v/>
      </c>
      <c r="D47" s="19" t="n">
        <v>341</v>
      </c>
      <c r="E47" s="18" t="n">
        <v>31.15596179</v>
      </c>
      <c r="F47" s="20" t="n">
        <v>2.93038354</v>
      </c>
      <c r="G47" s="18" t="n">
        <v>60.88969073</v>
      </c>
      <c r="H47" s="20" t="n">
        <v>3.00468319</v>
      </c>
      <c r="I47" s="18" t="s">
        <v>349</v>
      </c>
      <c r="J47" s="20" t="s">
        <v>349</v>
      </c>
      <c r="K47" s="18" t="n">
        <v>0.2744905</v>
      </c>
      <c r="L47" s="20" t="n">
        <v>0.27345287</v>
      </c>
      <c r="M47" s="18" t="n">
        <v>0</v>
      </c>
      <c r="N47" s="20" t="n">
        <v>0</v>
      </c>
      <c r="O47" s="18" t="n">
        <v>0</v>
      </c>
      <c r="P47" s="20" t="n">
        <v>0</v>
      </c>
      <c r="Q47" s="18" t="n">
        <v>7.67985698</v>
      </c>
      <c r="R47" s="20" t="n">
        <v>1.57906015</v>
      </c>
    </row>
    <row r="48" spans="1:18">
      <c r="A48" s="15" t="s">
        <v>390</v>
      </c>
      <c r="B48" s="17" t="n">
        <v>4682</v>
      </c>
      <c r="C48" s="18">
        <f>(4099.0/B48*100)</f>
        <v/>
      </c>
      <c r="D48" s="19" t="n">
        <v>583</v>
      </c>
      <c r="E48" s="18" t="n">
        <v>29.955107</v>
      </c>
      <c r="F48" s="20" t="n">
        <v>3.75284001</v>
      </c>
      <c r="G48" s="18" t="n">
        <v>64.7297502</v>
      </c>
      <c r="H48" s="20" t="n">
        <v>3.72939426</v>
      </c>
      <c r="I48" s="18" t="s">
        <v>349</v>
      </c>
      <c r="J48" s="20" t="s">
        <v>349</v>
      </c>
      <c r="K48" s="18" t="n">
        <v>0</v>
      </c>
      <c r="L48" s="20" t="n">
        <v>0</v>
      </c>
      <c r="M48" s="18" t="n">
        <v>0</v>
      </c>
      <c r="N48" s="20" t="n">
        <v>0</v>
      </c>
      <c r="O48" s="18" t="n">
        <v>0</v>
      </c>
      <c r="P48" s="20" t="n">
        <v>0</v>
      </c>
      <c r="Q48" s="18" t="n">
        <v>5.3151428</v>
      </c>
      <c r="R48" s="20" t="n">
        <v>1.08260758</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(5398.0/B50*100)</f>
        <v/>
      </c>
      <c r="D50" s="19" t="n">
        <v>760</v>
      </c>
      <c r="E50" s="18" t="n">
        <v>55.70831891</v>
      </c>
      <c r="F50" s="20" t="n">
        <v>1.92045952</v>
      </c>
      <c r="G50" s="18" t="n">
        <v>33.44801207</v>
      </c>
      <c r="H50" s="20" t="n">
        <v>1.80160876</v>
      </c>
      <c r="I50" s="18" t="s">
        <v>349</v>
      </c>
      <c r="J50" s="20" t="s">
        <v>349</v>
      </c>
      <c r="K50" s="18" t="n">
        <v>0.38945272</v>
      </c>
      <c r="L50" s="20" t="n">
        <v>0.21846368</v>
      </c>
      <c r="M50" s="18" t="n">
        <v>0</v>
      </c>
      <c r="N50" s="20" t="n">
        <v>0</v>
      </c>
      <c r="O50" s="18" t="n">
        <v>0</v>
      </c>
      <c r="P50" s="20" t="n">
        <v>0</v>
      </c>
      <c r="Q50" s="18" t="n">
        <v>10.4542163</v>
      </c>
      <c r="R50" s="20" t="n">
        <v>1.41259593</v>
      </c>
    </row>
    <row r="51" spans="1:18">
      <c r="A51" s="15" t="s">
        <v>393</v>
      </c>
      <c r="B51" s="17" t="n">
        <v>3494</v>
      </c>
      <c r="C51" s="18">
        <f>(3091.0/B51*100)</f>
        <v/>
      </c>
      <c r="D51" s="19" t="n">
        <v>403</v>
      </c>
      <c r="E51" s="18" t="n">
        <v>37.91741159</v>
      </c>
      <c r="F51" s="20" t="n">
        <v>2.83188688</v>
      </c>
      <c r="G51" s="18" t="n">
        <v>52.63783085</v>
      </c>
      <c r="H51" s="20" t="n">
        <v>3.12150014</v>
      </c>
      <c r="I51" s="18" t="s">
        <v>349</v>
      </c>
      <c r="J51" s="20" t="s">
        <v>349</v>
      </c>
      <c r="K51" s="18" t="n">
        <v>0</v>
      </c>
      <c r="L51" s="20" t="n">
        <v>0</v>
      </c>
      <c r="M51" s="18" t="n">
        <v>0</v>
      </c>
      <c r="N51" s="20" t="n">
        <v>0</v>
      </c>
      <c r="O51" s="18" t="n">
        <v>0</v>
      </c>
      <c r="P51" s="20" t="n">
        <v>0</v>
      </c>
      <c r="Q51" s="18" t="n">
        <v>9.44475757</v>
      </c>
      <c r="R51" s="20" t="n">
        <v>1.70119855</v>
      </c>
    </row>
    <row r="52" spans="1:18">
      <c r="A52" s="15" t="s">
        <v>394</v>
      </c>
      <c r="B52" s="17" t="n">
        <v>3013</v>
      </c>
      <c r="C52" s="18">
        <f>(2644.0/B52*100)</f>
        <v/>
      </c>
      <c r="D52" s="19" t="n">
        <v>369</v>
      </c>
      <c r="E52" s="18" t="n">
        <v>29.26199591</v>
      </c>
      <c r="F52" s="20" t="n">
        <v>2.57562126</v>
      </c>
      <c r="G52" s="18" t="n">
        <v>66.24833714</v>
      </c>
      <c r="H52" s="20" t="n">
        <v>2.47213167</v>
      </c>
      <c r="I52" s="18" t="s">
        <v>349</v>
      </c>
      <c r="J52" s="20" t="s">
        <v>349</v>
      </c>
      <c r="K52" s="18" t="n">
        <v>0</v>
      </c>
      <c r="L52" s="20" t="n">
        <v>0</v>
      </c>
      <c r="M52" s="18" t="n">
        <v>0</v>
      </c>
      <c r="N52" s="20" t="n">
        <v>0</v>
      </c>
      <c r="O52" s="18" t="n">
        <v>0</v>
      </c>
      <c r="P52" s="20" t="n">
        <v>0</v>
      </c>
      <c r="Q52" s="18" t="n">
        <v>4.48966695</v>
      </c>
      <c r="R52" s="20" t="n">
        <v>1.38121771</v>
      </c>
    </row>
    <row r="53" spans="1:18">
      <c r="A53" s="15" t="s">
        <v>395</v>
      </c>
      <c r="B53" s="17" t="n">
        <v>2760</v>
      </c>
      <c r="C53" s="18">
        <f>(2414.0/B53*100)</f>
        <v/>
      </c>
      <c r="D53" s="19" t="n">
        <v>346</v>
      </c>
      <c r="E53" s="18" t="n">
        <v>30.34197542</v>
      </c>
      <c r="F53" s="20" t="n">
        <v>2.42443956</v>
      </c>
      <c r="G53" s="18" t="n">
        <v>61.86786106</v>
      </c>
      <c r="H53" s="20" t="n">
        <v>2.55651965</v>
      </c>
      <c r="I53" s="18" t="s">
        <v>349</v>
      </c>
      <c r="J53" s="20" t="s">
        <v>349</v>
      </c>
      <c r="K53" s="18" t="n">
        <v>0.57585465</v>
      </c>
      <c r="L53" s="20" t="n">
        <v>0.43460862</v>
      </c>
      <c r="M53" s="18" t="n">
        <v>0</v>
      </c>
      <c r="N53" s="20" t="n">
        <v>0</v>
      </c>
      <c r="O53" s="18" t="n">
        <v>0</v>
      </c>
      <c r="P53" s="20" t="n">
        <v>0</v>
      </c>
      <c r="Q53" s="18" t="n">
        <v>7.21430887</v>
      </c>
      <c r="R53" s="20" t="n">
        <v>1.35498663</v>
      </c>
    </row>
    <row r="54" spans="1:18">
      <c r="A54" s="15" t="s">
        <v>396</v>
      </c>
      <c r="B54" s="17" t="n">
        <v>2474</v>
      </c>
      <c r="C54" s="18">
        <f>(2084.0/B54*100)</f>
        <v/>
      </c>
      <c r="D54" s="19" t="n">
        <v>390</v>
      </c>
      <c r="E54" s="18" t="n">
        <v>48.07422815</v>
      </c>
      <c r="F54" s="20" t="n">
        <v>2.96759546</v>
      </c>
      <c r="G54" s="18" t="n">
        <v>22.72525045</v>
      </c>
      <c r="H54" s="20" t="n">
        <v>2.1226252</v>
      </c>
      <c r="I54" s="18" t="s">
        <v>349</v>
      </c>
      <c r="J54" s="20" t="s">
        <v>349</v>
      </c>
      <c r="K54" s="18" t="n">
        <v>6.2896102</v>
      </c>
      <c r="L54" s="20" t="n">
        <v>1.50824614</v>
      </c>
      <c r="M54" s="18" t="n">
        <v>0</v>
      </c>
      <c r="N54" s="20" t="n">
        <v>0</v>
      </c>
      <c r="O54" s="18" t="n">
        <v>0</v>
      </c>
      <c r="P54" s="20" t="n">
        <v>0</v>
      </c>
      <c r="Q54" s="18" t="n">
        <v>22.9109112</v>
      </c>
      <c r="R54" s="20" t="n">
        <v>2.84082021</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(2322.0/B56*100)</f>
        <v/>
      </c>
      <c r="D56" s="19" t="n">
        <v>353</v>
      </c>
      <c r="E56" s="18" t="n">
        <v>23.85899022</v>
      </c>
      <c r="F56" s="20" t="n">
        <v>2.68364351</v>
      </c>
      <c r="G56" s="18" t="n">
        <v>74.06502542</v>
      </c>
      <c r="H56" s="20" t="n">
        <v>2.86758699</v>
      </c>
      <c r="I56" s="18" t="s">
        <v>349</v>
      </c>
      <c r="J56" s="20" t="s">
        <v>349</v>
      </c>
      <c r="K56" s="18" t="n">
        <v>0</v>
      </c>
      <c r="L56" s="20" t="n">
        <v>0</v>
      </c>
      <c r="M56" s="18" t="n">
        <v>0</v>
      </c>
      <c r="N56" s="20" t="n">
        <v>0</v>
      </c>
      <c r="O56" s="18" t="n">
        <v>0</v>
      </c>
      <c r="P56" s="20" t="n">
        <v>0</v>
      </c>
      <c r="Q56" s="18" t="n">
        <v>2.07598436</v>
      </c>
      <c r="R56" s="20" t="n">
        <v>0.7881656500000001</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(2816.0/B61*100)</f>
        <v/>
      </c>
      <c r="D61" s="19" t="n">
        <v>385</v>
      </c>
      <c r="E61" s="18" t="n">
        <v>38.79342903</v>
      </c>
      <c r="F61" s="20" t="n">
        <v>2.94249098</v>
      </c>
      <c r="G61" s="18" t="n">
        <v>57.39574592</v>
      </c>
      <c r="H61" s="20" t="n">
        <v>2.79147893</v>
      </c>
      <c r="I61" s="18" t="s">
        <v>349</v>
      </c>
      <c r="J61" s="20" t="s">
        <v>349</v>
      </c>
      <c r="K61" s="18" t="n">
        <v>0.58143744</v>
      </c>
      <c r="L61" s="20" t="n">
        <v>0.41336447</v>
      </c>
      <c r="M61" s="18" t="n">
        <v>0</v>
      </c>
      <c r="N61" s="20" t="n">
        <v>0</v>
      </c>
      <c r="O61" s="18" t="n">
        <v>0</v>
      </c>
      <c r="P61" s="20" t="n">
        <v>0</v>
      </c>
      <c r="Q61" s="18" t="n">
        <v>3.22938761</v>
      </c>
      <c r="R61" s="20" t="n">
        <v>0.80353113</v>
      </c>
    </row>
    <row r="62" spans="1:18">
      <c r="A62" s="15" t="s">
        <v>404</v>
      </c>
      <c r="B62" s="17" t="n">
        <v>2230</v>
      </c>
      <c r="C62" s="18">
        <f>(1945.0/B62*100)</f>
        <v/>
      </c>
      <c r="D62" s="19" t="n">
        <v>285</v>
      </c>
      <c r="E62" s="18" t="n">
        <v>20.03167008</v>
      </c>
      <c r="F62" s="20" t="n">
        <v>2.63955354</v>
      </c>
      <c r="G62" s="18" t="n">
        <v>76.13637294</v>
      </c>
      <c r="H62" s="20" t="n">
        <v>2.78983298</v>
      </c>
      <c r="I62" s="18" t="s">
        <v>349</v>
      </c>
      <c r="J62" s="20" t="s">
        <v>349</v>
      </c>
      <c r="K62" s="18" t="n">
        <v>0</v>
      </c>
      <c r="L62" s="20" t="n">
        <v>0</v>
      </c>
      <c r="M62" s="18" t="n">
        <v>0</v>
      </c>
      <c r="N62" s="20" t="n">
        <v>0</v>
      </c>
      <c r="O62" s="18" t="n">
        <v>0</v>
      </c>
      <c r="P62" s="20" t="n">
        <v>0</v>
      </c>
      <c r="Q62" s="18" t="n">
        <v>3.83195698</v>
      </c>
      <c r="R62" s="20" t="n">
        <v>1.03397502</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(2432.0/B66*100)</f>
        <v/>
      </c>
      <c r="D66" s="19" t="n">
        <v>339</v>
      </c>
      <c r="E66" s="18" t="n">
        <v>39.17053709</v>
      </c>
      <c r="F66" s="20" t="n">
        <v>2.72844934</v>
      </c>
      <c r="G66" s="18" t="n">
        <v>45.67446327</v>
      </c>
      <c r="H66" s="20" t="n">
        <v>2.61741351</v>
      </c>
      <c r="I66" s="18" t="s">
        <v>349</v>
      </c>
      <c r="J66" s="20" t="s">
        <v>349</v>
      </c>
      <c r="K66" s="18" t="n">
        <v>0.9151596</v>
      </c>
      <c r="L66" s="20" t="n">
        <v>0.52947072</v>
      </c>
      <c r="M66" s="18" t="n">
        <v>0</v>
      </c>
      <c r="N66" s="20" t="n">
        <v>0</v>
      </c>
      <c r="O66" s="18" t="n">
        <v>0</v>
      </c>
      <c r="P66" s="20" t="n">
        <v>0</v>
      </c>
      <c r="Q66" s="18" t="n">
        <v>14.23984004</v>
      </c>
      <c r="R66" s="20" t="n">
        <v>1.74132011</v>
      </c>
    </row>
    <row r="67" spans="1:18">
      <c r="A67" s="15" t="s">
        <v>409</v>
      </c>
      <c r="B67" s="17" t="n">
        <v>3460</v>
      </c>
      <c r="C67" s="18">
        <f>(3035.0/B67*100)</f>
        <v/>
      </c>
      <c r="D67" s="19" t="n">
        <v>425</v>
      </c>
      <c r="E67" s="18" t="n">
        <v>56.11604534</v>
      </c>
      <c r="F67" s="20" t="n">
        <v>2.13653001</v>
      </c>
      <c r="G67" s="18" t="n">
        <v>28.98045594</v>
      </c>
      <c r="H67" s="20" t="n">
        <v>2.17396537</v>
      </c>
      <c r="I67" s="18" t="s">
        <v>349</v>
      </c>
      <c r="J67" s="20" t="s">
        <v>349</v>
      </c>
      <c r="K67" s="18" t="n">
        <v>0</v>
      </c>
      <c r="L67" s="20" t="n">
        <v>0</v>
      </c>
      <c r="M67" s="18" t="n">
        <v>0</v>
      </c>
      <c r="N67" s="20" t="n">
        <v>0</v>
      </c>
      <c r="O67" s="18" t="n">
        <v>0</v>
      </c>
      <c r="P67" s="20" t="n">
        <v>0</v>
      </c>
      <c r="Q67" s="18" t="n">
        <v>14.90349872</v>
      </c>
      <c r="R67" s="20" t="n">
        <v>1.84567537</v>
      </c>
    </row>
    <row r="68" spans="1:18">
      <c r="A68" s="15" t="s">
        <v>410</v>
      </c>
      <c r="B68" s="17" t="n">
        <v>6034</v>
      </c>
      <c r="C68" s="18">
        <f>(5020.0/B68*100)</f>
        <v/>
      </c>
      <c r="D68" s="19" t="n">
        <v>1014</v>
      </c>
      <c r="E68" s="18" t="n">
        <v>44.3306855</v>
      </c>
      <c r="F68" s="20" t="n">
        <v>1.94641887</v>
      </c>
      <c r="G68" s="18" t="n">
        <v>43.56300966</v>
      </c>
      <c r="H68" s="20" t="n">
        <v>1.86889098</v>
      </c>
      <c r="I68" s="18" t="s">
        <v>349</v>
      </c>
      <c r="J68" s="20" t="s">
        <v>349</v>
      </c>
      <c r="K68" s="18" t="n">
        <v>1.08086293</v>
      </c>
      <c r="L68" s="20" t="n">
        <v>0.29206629</v>
      </c>
      <c r="M68" s="18" t="n">
        <v>0</v>
      </c>
      <c r="N68" s="20" t="n">
        <v>0</v>
      </c>
      <c r="O68" s="18" t="n">
        <v>0</v>
      </c>
      <c r="P68" s="20" t="n">
        <v>0</v>
      </c>
      <c r="Q68" s="18" t="n">
        <v>11.02544191</v>
      </c>
      <c r="R68" s="20" t="n">
        <v>1.06950912</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(2714.0/B70*100)</f>
        <v/>
      </c>
      <c r="D70" s="19" t="n">
        <v>393</v>
      </c>
      <c r="E70" s="18" t="n">
        <v>29.04725315</v>
      </c>
      <c r="F70" s="20" t="n">
        <v>2.46171965</v>
      </c>
      <c r="G70" s="18" t="n">
        <v>64.00092014000001</v>
      </c>
      <c r="H70" s="20" t="n">
        <v>2.72798629</v>
      </c>
      <c r="I70" s="18" t="s">
        <v>349</v>
      </c>
      <c r="J70" s="20" t="s">
        <v>349</v>
      </c>
      <c r="K70" s="18" t="n">
        <v>0</v>
      </c>
      <c r="L70" s="20" t="n">
        <v>0</v>
      </c>
      <c r="M70" s="18" t="n">
        <v>0</v>
      </c>
      <c r="N70" s="20" t="n">
        <v>0</v>
      </c>
      <c r="O70" s="18" t="n">
        <v>0</v>
      </c>
      <c r="P70" s="20" t="n">
        <v>0</v>
      </c>
      <c r="Q70" s="18" t="n">
        <v>6.95182672</v>
      </c>
      <c r="R70" s="20" t="n">
        <v>1.49144672</v>
      </c>
    </row>
    <row r="71" spans="1:18">
      <c r="A71" s="15" t="s">
        <v>413</v>
      </c>
      <c r="B71" s="17" t="n">
        <v>2973</v>
      </c>
      <c r="C71" s="18">
        <f>(2613.0/B71*100)</f>
        <v/>
      </c>
      <c r="D71" s="19" t="n">
        <v>360</v>
      </c>
      <c r="E71" s="18" t="n">
        <v>13.22319674</v>
      </c>
      <c r="F71" s="20" t="n">
        <v>1.96586472</v>
      </c>
      <c r="G71" s="18" t="n">
        <v>84.58575015</v>
      </c>
      <c r="H71" s="20" t="n">
        <v>2.00386568</v>
      </c>
      <c r="I71" s="18" t="s">
        <v>349</v>
      </c>
      <c r="J71" s="20" t="s">
        <v>349</v>
      </c>
      <c r="K71" s="18" t="n">
        <v>0.32368251</v>
      </c>
      <c r="L71" s="20" t="n">
        <v>0.325956</v>
      </c>
      <c r="M71" s="18" t="n">
        <v>0</v>
      </c>
      <c r="N71" s="20" t="n">
        <v>0</v>
      </c>
      <c r="O71" s="18" t="n">
        <v>0</v>
      </c>
      <c r="P71" s="20" t="n">
        <v>0</v>
      </c>
      <c r="Q71" s="18" t="n">
        <v>1.8673706</v>
      </c>
      <c r="R71" s="20" t="n">
        <v>0.72048331</v>
      </c>
    </row>
    <row r="72" spans="1:18">
      <c r="A72" s="15" t="s">
        <v>414</v>
      </c>
      <c r="B72" s="17" t="n">
        <v>3819</v>
      </c>
      <c r="C72" s="18">
        <f>(3345.0/B72*100)</f>
        <v/>
      </c>
      <c r="D72" s="19" t="n">
        <v>474</v>
      </c>
      <c r="E72" s="18" t="n">
        <v>23.79101393</v>
      </c>
      <c r="F72" s="20" t="n">
        <v>2.02322543</v>
      </c>
      <c r="G72" s="18" t="n">
        <v>74.43792593000001</v>
      </c>
      <c r="H72" s="20" t="n">
        <v>2.14612336</v>
      </c>
      <c r="I72" s="18" t="s">
        <v>349</v>
      </c>
      <c r="J72" s="20" t="s">
        <v>349</v>
      </c>
      <c r="K72" s="18" t="n">
        <v>0</v>
      </c>
      <c r="L72" s="20" t="n">
        <v>0</v>
      </c>
      <c r="M72" s="18" t="n">
        <v>0</v>
      </c>
      <c r="N72" s="20" t="n">
        <v>0</v>
      </c>
      <c r="O72" s="18" t="n">
        <v>0</v>
      </c>
      <c r="P72" s="20" t="n">
        <v>0</v>
      </c>
      <c r="Q72" s="18" t="n">
        <v>1.77106015</v>
      </c>
      <c r="R72" s="20" t="n">
        <v>0.65227611</v>
      </c>
    </row>
    <row r="73" spans="1:18">
      <c r="A73" s="15" t="s">
        <v>415</v>
      </c>
      <c r="B73" s="17" t="n">
        <v>4652</v>
      </c>
      <c r="C73" s="18">
        <f>(4102.0/B73*100)</f>
        <v/>
      </c>
      <c r="D73" s="19" t="n">
        <v>550</v>
      </c>
      <c r="E73" s="18" t="n">
        <v>56.49636943</v>
      </c>
      <c r="F73" s="20" t="n">
        <v>2.07441238</v>
      </c>
      <c r="G73" s="18" t="n">
        <v>31.77943292</v>
      </c>
      <c r="H73" s="20" t="n">
        <v>1.77022455</v>
      </c>
      <c r="I73" s="18" t="s">
        <v>349</v>
      </c>
      <c r="J73" s="20" t="s">
        <v>349</v>
      </c>
      <c r="K73" s="18" t="n">
        <v>0</v>
      </c>
      <c r="L73" s="20" t="n">
        <v>0</v>
      </c>
      <c r="M73" s="18" t="n">
        <v>0</v>
      </c>
      <c r="N73" s="20" t="n">
        <v>0</v>
      </c>
      <c r="O73" s="18" t="n">
        <v>0</v>
      </c>
      <c r="P73" s="20" t="n">
        <v>0</v>
      </c>
      <c r="Q73" s="18" t="n">
        <v>11.72419764</v>
      </c>
      <c r="R73" s="20" t="n">
        <v>1.7109032</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(2625.0/B75*100)</f>
        <v/>
      </c>
      <c r="D75" s="19" t="n">
        <v>344</v>
      </c>
      <c r="E75" s="18" t="n">
        <v>48.3269878</v>
      </c>
      <c r="F75" s="20" t="n">
        <v>3.12214606</v>
      </c>
      <c r="G75" s="18" t="n">
        <v>31.99079171</v>
      </c>
      <c r="H75" s="20" t="n">
        <v>2.81144112</v>
      </c>
      <c r="I75" s="18" t="s">
        <v>349</v>
      </c>
      <c r="J75" s="20" t="s">
        <v>349</v>
      </c>
      <c r="K75" s="18" t="n">
        <v>1.26994887</v>
      </c>
      <c r="L75" s="20" t="n">
        <v>0.58872419</v>
      </c>
      <c r="M75" s="18" t="n">
        <v>0</v>
      </c>
      <c r="N75" s="20" t="n">
        <v>0</v>
      </c>
      <c r="O75" s="18" t="n">
        <v>0</v>
      </c>
      <c r="P75" s="20" t="n">
        <v>0</v>
      </c>
      <c r="Q75" s="18" t="n">
        <v>18.41227162</v>
      </c>
      <c r="R75" s="20" t="n">
        <v>2.45176565</v>
      </c>
    </row>
    <row r="76" spans="1:18">
      <c r="A76" s="15" t="s">
        <v>418</v>
      </c>
      <c r="B76" s="17" t="n">
        <v>7115</v>
      </c>
      <c r="C76" s="18">
        <f>(6246.0/B76*100)</f>
        <v/>
      </c>
      <c r="D76" s="19" t="n">
        <v>869</v>
      </c>
      <c r="E76" s="18" t="n">
        <v>39.6314683</v>
      </c>
      <c r="F76" s="20" t="n">
        <v>1.55097392</v>
      </c>
      <c r="G76" s="18" t="n">
        <v>53.60633294</v>
      </c>
      <c r="H76" s="20" t="n">
        <v>1.76927002</v>
      </c>
      <c r="I76" s="18" t="s">
        <v>349</v>
      </c>
      <c r="J76" s="20" t="s">
        <v>349</v>
      </c>
      <c r="K76" s="18" t="n">
        <v>0.13084469</v>
      </c>
      <c r="L76" s="20" t="n">
        <v>0.13033251</v>
      </c>
      <c r="M76" s="18" t="n">
        <v>0</v>
      </c>
      <c r="N76" s="20" t="n">
        <v>0</v>
      </c>
      <c r="O76" s="18" t="n">
        <v>0</v>
      </c>
      <c r="P76" s="20" t="n">
        <v>0</v>
      </c>
      <c r="Q76" s="18" t="n">
        <v>6.63135407</v>
      </c>
      <c r="R76" s="20" t="n">
        <v>1.25334643</v>
      </c>
    </row>
    <row r="77" spans="1:18">
      <c r="A77" s="15" t="s">
        <v>419</v>
      </c>
      <c r="B77" s="17" t="n">
        <v>3154</v>
      </c>
      <c r="C77" s="18">
        <f>(2779.0/B77*100)</f>
        <v/>
      </c>
      <c r="D77" s="19" t="n">
        <v>375</v>
      </c>
      <c r="E77" s="18" t="n">
        <v>43.00506422</v>
      </c>
      <c r="F77" s="20" t="n">
        <v>2.50378161</v>
      </c>
      <c r="G77" s="18" t="n">
        <v>44.98024616</v>
      </c>
      <c r="H77" s="20" t="n">
        <v>2.42192473</v>
      </c>
      <c r="I77" s="18" t="s">
        <v>349</v>
      </c>
      <c r="J77" s="20" t="s">
        <v>349</v>
      </c>
      <c r="K77" s="18" t="n">
        <v>0.28018362</v>
      </c>
      <c r="L77" s="20" t="n">
        <v>0.2819714</v>
      </c>
      <c r="M77" s="18" t="n">
        <v>0</v>
      </c>
      <c r="N77" s="20" t="n">
        <v>0</v>
      </c>
      <c r="O77" s="18" t="n">
        <v>0</v>
      </c>
      <c r="P77" s="20" t="n">
        <v>0</v>
      </c>
      <c r="Q77" s="18" t="n">
        <v>11.73450601</v>
      </c>
      <c r="R77" s="20" t="n">
        <v>1.8336903</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(4138.0/B81*100)</f>
        <v/>
      </c>
      <c r="D81" s="19" t="n">
        <v>560</v>
      </c>
      <c r="E81" s="18" t="n">
        <v>42.31026317</v>
      </c>
      <c r="F81" s="20" t="n">
        <v>2.68539088</v>
      </c>
      <c r="G81" s="18" t="n">
        <v>53.74087802</v>
      </c>
      <c r="H81" s="20" t="n">
        <v>2.95124515</v>
      </c>
      <c r="I81" s="18" t="s">
        <v>349</v>
      </c>
      <c r="J81" s="20" t="s">
        <v>349</v>
      </c>
      <c r="K81" s="18" t="n">
        <v>0</v>
      </c>
      <c r="L81" s="20" t="n">
        <v>0</v>
      </c>
      <c r="M81" s="18" t="n">
        <v>0</v>
      </c>
      <c r="N81" s="20" t="n">
        <v>0</v>
      </c>
      <c r="O81" s="18" t="n">
        <v>0</v>
      </c>
      <c r="P81" s="20" t="n">
        <v>0</v>
      </c>
      <c r="Q81" s="18" t="n">
        <v>3.94885881</v>
      </c>
      <c r="R81" s="20" t="n">
        <v>1.03088184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331</v>
      </c>
    </row>
    <row r="2" spans="1:28">
      <c r="A2" s="5" t="s">
        <v>446</v>
      </c>
    </row>
    <row customHeight="1" ht="30" r="4" spans="1:28">
      <c r="A4" s="6" t="n"/>
      <c r="B4" s="7" t="s">
        <v>333</v>
      </c>
      <c r="C4" s="7" t="s">
        <v>334</v>
      </c>
      <c r="D4" s="8" t="s">
        <v>333</v>
      </c>
      <c r="E4" s="9" t="s">
        <v>440</v>
      </c>
      <c r="F4" s="10" t="n"/>
      <c r="G4" s="9" t="s">
        <v>441</v>
      </c>
      <c r="H4" s="10" t="n"/>
      <c r="I4" s="9" t="s">
        <v>442</v>
      </c>
      <c r="J4" s="10" t="n"/>
      <c r="K4" s="9" t="s">
        <v>443</v>
      </c>
      <c r="L4" s="10" t="n"/>
      <c r="M4" s="9" t="s">
        <v>444</v>
      </c>
      <c r="N4" s="10" t="n"/>
      <c r="O4" s="9" t="s">
        <v>447</v>
      </c>
      <c r="P4" s="10" t="n"/>
      <c r="Q4" s="9" t="s">
        <v>448</v>
      </c>
      <c r="R4" s="10" t="n"/>
      <c r="S4" s="9" t="s">
        <v>337</v>
      </c>
      <c r="T4" s="10" t="n"/>
      <c r="U4" s="9" t="s">
        <v>338</v>
      </c>
      <c r="V4" s="10" t="n"/>
      <c r="W4" s="9" t="s">
        <v>339</v>
      </c>
      <c r="X4" s="10" t="n"/>
      <c r="Y4" s="9" t="s">
        <v>340</v>
      </c>
      <c r="Z4" s="10" t="n"/>
      <c r="AA4" s="9" t="s">
        <v>341</v>
      </c>
      <c r="AB4" s="10" t="n"/>
    </row>
    <row r="5" spans="1:2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c r="Y5" s="12" t="s">
        <v>345</v>
      </c>
      <c r="Z5" s="11" t="s">
        <v>346</v>
      </c>
      <c r="AA5" s="12" t="s">
        <v>345</v>
      </c>
      <c r="AB5" s="11" t="s">
        <v>346</v>
      </c>
    </row>
    <row r="6" spans="1:28">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348</v>
      </c>
      <c r="B7" s="17" t="n">
        <v>7163</v>
      </c>
      <c r="C7" s="18">
        <f>(6245.0/B7*100)</f>
        <v/>
      </c>
      <c r="D7" s="19" t="n">
        <v>918</v>
      </c>
      <c r="E7" s="18" t="n">
        <v>60.2050149</v>
      </c>
      <c r="F7" s="20" t="n">
        <v>1.95561223</v>
      </c>
      <c r="G7" s="18" t="n">
        <v>1.18782341</v>
      </c>
      <c r="H7" s="20" t="n">
        <v>0.5555728599999999</v>
      </c>
      <c r="I7" s="18" t="n">
        <v>4.74747133</v>
      </c>
      <c r="J7" s="20" t="n">
        <v>0.76034223</v>
      </c>
      <c r="K7" s="18" t="n">
        <v>1.0589115</v>
      </c>
      <c r="L7" s="20" t="n">
        <v>0.37727744</v>
      </c>
      <c r="M7" s="18" t="n">
        <v>0.07796612</v>
      </c>
      <c r="N7" s="20" t="n">
        <v>0.07407764</v>
      </c>
      <c r="O7" s="18" t="n">
        <v>8.772031220000001</v>
      </c>
      <c r="P7" s="20" t="n">
        <v>1.10549676</v>
      </c>
      <c r="Q7" s="18" t="n">
        <v>3.22301602</v>
      </c>
      <c r="R7" s="20" t="n">
        <v>0.72276946</v>
      </c>
      <c r="S7" s="18" t="s">
        <v>349</v>
      </c>
      <c r="T7" s="20" t="s">
        <v>349</v>
      </c>
      <c r="U7" s="18" t="n">
        <v>0.07959666999999999</v>
      </c>
      <c r="V7" s="20" t="n">
        <v>0.07764528</v>
      </c>
      <c r="W7" s="18" t="n">
        <v>0.01117395</v>
      </c>
      <c r="X7" s="20" t="n">
        <v>0.01130994</v>
      </c>
      <c r="Y7" s="18" t="n">
        <v>0</v>
      </c>
      <c r="Z7" s="20" t="n">
        <v>0</v>
      </c>
      <c r="AA7" s="18" t="n">
        <v>20.63699487</v>
      </c>
      <c r="AB7" s="20" t="n">
        <v>1.48372694</v>
      </c>
    </row>
    <row r="8" spans="1:28">
      <c r="A8" s="15" t="s">
        <v>350</v>
      </c>
      <c r="B8" s="17" t="n">
        <v>3443</v>
      </c>
      <c r="C8" s="18">
        <f>(3031.0/B8*100)</f>
        <v/>
      </c>
      <c r="D8" s="19" t="n">
        <v>412</v>
      </c>
      <c r="E8" s="18" t="n">
        <v>42.99173106</v>
      </c>
      <c r="F8" s="20" t="n">
        <v>2.59542173</v>
      </c>
      <c r="G8" s="18" t="n">
        <v>0.83412001</v>
      </c>
      <c r="H8" s="20" t="n">
        <v>0.48348834</v>
      </c>
      <c r="I8" s="18" t="n">
        <v>8.546880440000001</v>
      </c>
      <c r="J8" s="20" t="n">
        <v>1.38630527</v>
      </c>
      <c r="K8" s="18" t="n">
        <v>1.13152768</v>
      </c>
      <c r="L8" s="20" t="n">
        <v>0.5274929699999999</v>
      </c>
      <c r="M8" s="18" t="n">
        <v>0</v>
      </c>
      <c r="N8" s="20" t="n">
        <v>0</v>
      </c>
      <c r="O8" s="18" t="n">
        <v>5.23385054</v>
      </c>
      <c r="P8" s="20" t="n">
        <v>1.20414047</v>
      </c>
      <c r="Q8" s="18" t="n">
        <v>2.48149706</v>
      </c>
      <c r="R8" s="20" t="n">
        <v>0.79339013</v>
      </c>
      <c r="S8" s="18" t="s">
        <v>349</v>
      </c>
      <c r="T8" s="20" t="s">
        <v>349</v>
      </c>
      <c r="U8" s="18" t="n">
        <v>0.12491712</v>
      </c>
      <c r="V8" s="20" t="n">
        <v>0.12772073</v>
      </c>
      <c r="W8" s="18" t="n">
        <v>0</v>
      </c>
      <c r="X8" s="20" t="n">
        <v>0</v>
      </c>
      <c r="Y8" s="18" t="n">
        <v>0</v>
      </c>
      <c r="Z8" s="20" t="n">
        <v>0</v>
      </c>
      <c r="AA8" s="18" t="n">
        <v>38.65547609</v>
      </c>
      <c r="AB8" s="20" t="n">
        <v>2.72660354</v>
      </c>
    </row>
    <row r="9" spans="1:28">
      <c r="A9" s="15" t="s">
        <v>351</v>
      </c>
      <c r="B9" s="17" t="n">
        <v>4752</v>
      </c>
      <c r="C9" s="18">
        <f>(4171.0/B9*100)</f>
        <v/>
      </c>
      <c r="D9" s="19" t="n">
        <v>581</v>
      </c>
      <c r="E9" s="18" t="n">
        <v>43.58294885</v>
      </c>
      <c r="F9" s="20" t="n">
        <v>2.24825896</v>
      </c>
      <c r="G9" s="18" t="n">
        <v>1.09135693</v>
      </c>
      <c r="H9" s="20" t="n">
        <v>0.4806057</v>
      </c>
      <c r="I9" s="18" t="n">
        <v>6.86960289</v>
      </c>
      <c r="J9" s="20" t="n">
        <v>1.05193076</v>
      </c>
      <c r="K9" s="18" t="n">
        <v>3.08935762</v>
      </c>
      <c r="L9" s="20" t="n">
        <v>0.58647034</v>
      </c>
      <c r="M9" s="18" t="n">
        <v>0</v>
      </c>
      <c r="N9" s="20" t="n">
        <v>0</v>
      </c>
      <c r="O9" s="18" t="n">
        <v>8.867628610000001</v>
      </c>
      <c r="P9" s="20" t="n">
        <v>1.25753733</v>
      </c>
      <c r="Q9" s="18" t="n">
        <v>1.93377693</v>
      </c>
      <c r="R9" s="20" t="n">
        <v>0.5727225</v>
      </c>
      <c r="S9" s="18" t="s">
        <v>349</v>
      </c>
      <c r="T9" s="20" t="s">
        <v>349</v>
      </c>
      <c r="U9" s="18" t="n">
        <v>0.22016289</v>
      </c>
      <c r="V9" s="20" t="n">
        <v>0.22066494</v>
      </c>
      <c r="W9" s="18" t="n">
        <v>0.356688</v>
      </c>
      <c r="X9" s="20" t="n">
        <v>0.25813098</v>
      </c>
      <c r="Y9" s="18" t="n">
        <v>0</v>
      </c>
      <c r="Z9" s="20" t="n">
        <v>0</v>
      </c>
      <c r="AA9" s="18" t="n">
        <v>33.98847727</v>
      </c>
      <c r="AB9" s="20" t="n">
        <v>2.06906401</v>
      </c>
    </row>
    <row r="10" spans="1:28">
      <c r="A10" s="15" t="s">
        <v>352</v>
      </c>
      <c r="B10" s="17" t="n">
        <v>10022</v>
      </c>
      <c r="C10" s="18">
        <f>(8825.0/B10*100)</f>
        <v/>
      </c>
      <c r="D10" s="19" t="n">
        <v>1197</v>
      </c>
      <c r="E10" s="18" t="n">
        <v>50.06501551</v>
      </c>
      <c r="F10" s="20" t="n">
        <v>2.12011086</v>
      </c>
      <c r="G10" s="18" t="n">
        <v>1.57017162</v>
      </c>
      <c r="H10" s="20" t="n">
        <v>0.53253066</v>
      </c>
      <c r="I10" s="18" t="n">
        <v>11.0861201</v>
      </c>
      <c r="J10" s="20" t="n">
        <v>1.16298294</v>
      </c>
      <c r="K10" s="18" t="n">
        <v>1.02274564</v>
      </c>
      <c r="L10" s="20" t="n">
        <v>0.36160265</v>
      </c>
      <c r="M10" s="18" t="n">
        <v>0.00681463</v>
      </c>
      <c r="N10" s="20" t="n">
        <v>0.00683238</v>
      </c>
      <c r="O10" s="18" t="n">
        <v>14.69275911</v>
      </c>
      <c r="P10" s="20" t="n">
        <v>1.57667906</v>
      </c>
      <c r="Q10" s="18" t="n">
        <v>3.70216471</v>
      </c>
      <c r="R10" s="20" t="n">
        <v>0.89157324</v>
      </c>
      <c r="S10" s="18" t="s">
        <v>349</v>
      </c>
      <c r="T10" s="20" t="s">
        <v>349</v>
      </c>
      <c r="U10" s="18" t="n">
        <v>0.04592189</v>
      </c>
      <c r="V10" s="20" t="n">
        <v>0.02839086</v>
      </c>
      <c r="W10" s="18" t="n">
        <v>0.1876851</v>
      </c>
      <c r="X10" s="20" t="n">
        <v>0.11894004</v>
      </c>
      <c r="Y10" s="18" t="n">
        <v>0</v>
      </c>
      <c r="Z10" s="20" t="n">
        <v>0</v>
      </c>
      <c r="AA10" s="18" t="n">
        <v>17.62060169</v>
      </c>
      <c r="AB10" s="20" t="n">
        <v>1.55543285</v>
      </c>
    </row>
    <row r="11" spans="1:28">
      <c r="A11" s="15" t="s">
        <v>353</v>
      </c>
      <c r="B11" s="17" t="n">
        <v>3500</v>
      </c>
      <c r="C11" s="18">
        <f>(3078.0/B11*100)</f>
        <v/>
      </c>
      <c r="D11" s="19" t="n">
        <v>422</v>
      </c>
      <c r="E11" s="18" t="n">
        <v>43.6133622</v>
      </c>
      <c r="F11" s="20" t="n">
        <v>2.81844229</v>
      </c>
      <c r="G11" s="18" t="n">
        <v>0.57785723</v>
      </c>
      <c r="H11" s="20" t="n">
        <v>0.40204883</v>
      </c>
      <c r="I11" s="18" t="n">
        <v>0.97118362</v>
      </c>
      <c r="J11" s="20" t="n">
        <v>0.46106204</v>
      </c>
      <c r="K11" s="18" t="n">
        <v>0.08156260999999999</v>
      </c>
      <c r="L11" s="20" t="n">
        <v>0.07845742999999999</v>
      </c>
      <c r="M11" s="18" t="n">
        <v>0</v>
      </c>
      <c r="N11" s="20" t="n">
        <v>0</v>
      </c>
      <c r="O11" s="18" t="n">
        <v>1.88087529</v>
      </c>
      <c r="P11" s="20" t="n">
        <v>0.63564226</v>
      </c>
      <c r="Q11" s="18" t="n">
        <v>3.06779484</v>
      </c>
      <c r="R11" s="20" t="n">
        <v>0.97736884</v>
      </c>
      <c r="S11" s="18" t="s">
        <v>349</v>
      </c>
      <c r="T11" s="20" t="s">
        <v>349</v>
      </c>
      <c r="U11" s="18" t="n">
        <v>0.15913428</v>
      </c>
      <c r="V11" s="20" t="n">
        <v>0.14585244</v>
      </c>
      <c r="W11" s="18" t="n">
        <v>0</v>
      </c>
      <c r="X11" s="20" t="n">
        <v>0</v>
      </c>
      <c r="Y11" s="18" t="n">
        <v>0</v>
      </c>
      <c r="Z11" s="20" t="n">
        <v>0</v>
      </c>
      <c r="AA11" s="18" t="n">
        <v>49.64822993</v>
      </c>
      <c r="AB11" s="20" t="n">
        <v>2.83176691</v>
      </c>
    </row>
    <row r="12" spans="1:28">
      <c r="A12" s="15" t="s">
        <v>354</v>
      </c>
      <c r="B12" s="17" t="n">
        <v>3422</v>
      </c>
      <c r="C12" s="18">
        <f>(3003.0/B12*100)</f>
        <v/>
      </c>
      <c r="D12" s="19" t="n">
        <v>419</v>
      </c>
      <c r="E12" s="18" t="n">
        <v>44.90823493</v>
      </c>
      <c r="F12" s="20" t="n">
        <v>2.67271429</v>
      </c>
      <c r="G12" s="18" t="n">
        <v>2.28709663</v>
      </c>
      <c r="H12" s="20" t="n">
        <v>0.761961</v>
      </c>
      <c r="I12" s="18" t="n">
        <v>4.81816314</v>
      </c>
      <c r="J12" s="20" t="n">
        <v>1.09946152</v>
      </c>
      <c r="K12" s="18" t="n">
        <v>3.15171516</v>
      </c>
      <c r="L12" s="20" t="n">
        <v>1.22039181</v>
      </c>
      <c r="M12" s="18" t="n">
        <v>0</v>
      </c>
      <c r="N12" s="20" t="n">
        <v>0</v>
      </c>
      <c r="O12" s="18" t="n">
        <v>9.499814580000001</v>
      </c>
      <c r="P12" s="20" t="n">
        <v>1.5540829</v>
      </c>
      <c r="Q12" s="18" t="n">
        <v>4.81416152</v>
      </c>
      <c r="R12" s="20" t="n">
        <v>1.04419802</v>
      </c>
      <c r="S12" s="18" t="s">
        <v>349</v>
      </c>
      <c r="T12" s="20" t="s">
        <v>349</v>
      </c>
      <c r="U12" s="18" t="n">
        <v>0</v>
      </c>
      <c r="V12" s="20" t="n">
        <v>0</v>
      </c>
      <c r="W12" s="18" t="n">
        <v>0</v>
      </c>
      <c r="X12" s="20" t="n">
        <v>0</v>
      </c>
      <c r="Y12" s="18" t="n">
        <v>0</v>
      </c>
      <c r="Z12" s="20" t="n">
        <v>0</v>
      </c>
      <c r="AA12" s="18" t="n">
        <v>30.52081404</v>
      </c>
      <c r="AB12" s="20" t="n">
        <v>2.9131637</v>
      </c>
    </row>
    <row r="13" spans="1:28">
      <c r="A13" s="15" t="s">
        <v>355</v>
      </c>
      <c r="B13" s="17" t="n">
        <v>3602</v>
      </c>
      <c r="C13" s="18">
        <f>(3199.0/B13*100)</f>
        <v/>
      </c>
      <c r="D13" s="19" t="n">
        <v>403</v>
      </c>
      <c r="E13" s="18" t="n">
        <v>46.6828083</v>
      </c>
      <c r="F13" s="20" t="n">
        <v>2.7247322</v>
      </c>
      <c r="G13" s="18" t="n">
        <v>0.48259521</v>
      </c>
      <c r="H13" s="20" t="n">
        <v>0.35549646</v>
      </c>
      <c r="I13" s="18" t="n">
        <v>5.0469958</v>
      </c>
      <c r="J13" s="20" t="n">
        <v>1.38686025</v>
      </c>
      <c r="K13" s="18" t="n">
        <v>5.93534628</v>
      </c>
      <c r="L13" s="20" t="n">
        <v>1.4817304</v>
      </c>
      <c r="M13" s="18" t="n">
        <v>0</v>
      </c>
      <c r="N13" s="20" t="n">
        <v>0</v>
      </c>
      <c r="O13" s="18" t="n">
        <v>12.22833047</v>
      </c>
      <c r="P13" s="20" t="n">
        <v>2.64438</v>
      </c>
      <c r="Q13" s="18" t="n">
        <v>2.62735883</v>
      </c>
      <c r="R13" s="20" t="n">
        <v>0.96828106</v>
      </c>
      <c r="S13" s="18" t="s">
        <v>349</v>
      </c>
      <c r="T13" s="20" t="s">
        <v>349</v>
      </c>
      <c r="U13" s="18" t="n">
        <v>0.53516063</v>
      </c>
      <c r="V13" s="20" t="n">
        <v>0.527482</v>
      </c>
      <c r="W13" s="18" t="n">
        <v>0.0880647</v>
      </c>
      <c r="X13" s="20" t="n">
        <v>0.08922043</v>
      </c>
      <c r="Y13" s="18" t="n">
        <v>0</v>
      </c>
      <c r="Z13" s="20" t="n">
        <v>0</v>
      </c>
      <c r="AA13" s="18" t="n">
        <v>26.37333978</v>
      </c>
      <c r="AB13" s="20" t="n">
        <v>2.74460314</v>
      </c>
    </row>
    <row r="14" spans="1:28">
      <c r="A14" s="15" t="s">
        <v>356</v>
      </c>
      <c r="B14" s="17" t="n">
        <v>2788</v>
      </c>
      <c r="C14" s="18">
        <f>(2434.0/B14*100)</f>
        <v/>
      </c>
      <c r="D14" s="19" t="n">
        <v>354</v>
      </c>
      <c r="E14" s="18" t="n">
        <v>39.84969755</v>
      </c>
      <c r="F14" s="20" t="n">
        <v>2.74571794</v>
      </c>
      <c r="G14" s="18" t="n">
        <v>1.42280337</v>
      </c>
      <c r="H14" s="20" t="n">
        <v>0.5850109999999999</v>
      </c>
      <c r="I14" s="18" t="n">
        <v>4.45750926</v>
      </c>
      <c r="J14" s="20" t="n">
        <v>1.16527097</v>
      </c>
      <c r="K14" s="18" t="n">
        <v>3.36553825</v>
      </c>
      <c r="L14" s="20" t="n">
        <v>0.92063198</v>
      </c>
      <c r="M14" s="18" t="n">
        <v>0.41298289</v>
      </c>
      <c r="N14" s="20" t="n">
        <v>0.29049085</v>
      </c>
      <c r="O14" s="18" t="n">
        <v>13.22633552</v>
      </c>
      <c r="P14" s="20" t="n">
        <v>2.1313266</v>
      </c>
      <c r="Q14" s="18" t="n">
        <v>1.54752884</v>
      </c>
      <c r="R14" s="20" t="n">
        <v>0.61506785</v>
      </c>
      <c r="S14" s="18" t="s">
        <v>349</v>
      </c>
      <c r="T14" s="20" t="s">
        <v>349</v>
      </c>
      <c r="U14" s="18" t="n">
        <v>0</v>
      </c>
      <c r="V14" s="20" t="n">
        <v>0</v>
      </c>
      <c r="W14" s="18" t="n">
        <v>0.23033593</v>
      </c>
      <c r="X14" s="20" t="n">
        <v>0.23167439</v>
      </c>
      <c r="Y14" s="18" t="n">
        <v>0</v>
      </c>
      <c r="Z14" s="20" t="n">
        <v>0</v>
      </c>
      <c r="AA14" s="18" t="n">
        <v>35.48726839</v>
      </c>
      <c r="AB14" s="20" t="n">
        <v>2.468352</v>
      </c>
    </row>
    <row r="15" spans="1:28">
      <c r="A15" s="15" t="s">
        <v>357</v>
      </c>
      <c r="B15" s="17" t="n">
        <v>2863</v>
      </c>
      <c r="C15" s="18">
        <f>(2495.0/B15*100)</f>
        <v/>
      </c>
      <c r="D15" s="19" t="n">
        <v>368</v>
      </c>
      <c r="E15" s="18" t="n">
        <v>46.27160387</v>
      </c>
      <c r="F15" s="20" t="n">
        <v>2.67240108</v>
      </c>
      <c r="G15" s="18" t="n">
        <v>4.45537041</v>
      </c>
      <c r="H15" s="20" t="n">
        <v>1.06620663</v>
      </c>
      <c r="I15" s="18" t="n">
        <v>7.7936772</v>
      </c>
      <c r="J15" s="20" t="n">
        <v>1.46987304</v>
      </c>
      <c r="K15" s="18" t="n">
        <v>2.69862179</v>
      </c>
      <c r="L15" s="20" t="n">
        <v>0.92435405</v>
      </c>
      <c r="M15" s="18" t="n">
        <v>0.51031111</v>
      </c>
      <c r="N15" s="20" t="n">
        <v>0.40906666</v>
      </c>
      <c r="O15" s="18" t="n">
        <v>7.82368129</v>
      </c>
      <c r="P15" s="20" t="n">
        <v>1.44599032</v>
      </c>
      <c r="Q15" s="18" t="n">
        <v>6.28893675</v>
      </c>
      <c r="R15" s="20" t="n">
        <v>1.36458207</v>
      </c>
      <c r="S15" s="18" t="s">
        <v>349</v>
      </c>
      <c r="T15" s="20" t="s">
        <v>349</v>
      </c>
      <c r="U15" s="18" t="n">
        <v>0</v>
      </c>
      <c r="V15" s="20" t="n">
        <v>0</v>
      </c>
      <c r="W15" s="18" t="n">
        <v>0</v>
      </c>
      <c r="X15" s="20" t="n">
        <v>0</v>
      </c>
      <c r="Y15" s="18" t="n">
        <v>0</v>
      </c>
      <c r="Z15" s="20" t="n">
        <v>0</v>
      </c>
      <c r="AA15" s="18" t="n">
        <v>24.15779758</v>
      </c>
      <c r="AB15" s="20" t="n">
        <v>2.40551701</v>
      </c>
    </row>
    <row r="16" spans="1:28">
      <c r="A16" s="15" t="s">
        <v>358</v>
      </c>
      <c r="B16" s="17" t="n">
        <v>3111</v>
      </c>
      <c r="C16" s="18">
        <f>(2730.0/B16*100)</f>
        <v/>
      </c>
      <c r="D16" s="19" t="n">
        <v>381</v>
      </c>
      <c r="E16" s="18" t="n">
        <v>36.07921086</v>
      </c>
      <c r="F16" s="20" t="n">
        <v>2.53180498</v>
      </c>
      <c r="G16" s="18" t="n">
        <v>0.92367641</v>
      </c>
      <c r="H16" s="20" t="n">
        <v>0.46269987</v>
      </c>
      <c r="I16" s="18" t="n">
        <v>4.97813491</v>
      </c>
      <c r="J16" s="20" t="n">
        <v>1.06143568</v>
      </c>
      <c r="K16" s="18" t="n">
        <v>0</v>
      </c>
      <c r="L16" s="20" t="n">
        <v>0</v>
      </c>
      <c r="M16" s="18" t="n">
        <v>0</v>
      </c>
      <c r="N16" s="20" t="n">
        <v>0</v>
      </c>
      <c r="O16" s="18" t="n">
        <v>8.919325130000001</v>
      </c>
      <c r="P16" s="20" t="n">
        <v>1.34955715</v>
      </c>
      <c r="Q16" s="18" t="n">
        <v>2.62334406</v>
      </c>
      <c r="R16" s="20" t="n">
        <v>0.72930174</v>
      </c>
      <c r="S16" s="18" t="s">
        <v>349</v>
      </c>
      <c r="T16" s="20" t="s">
        <v>349</v>
      </c>
      <c r="U16" s="18" t="n">
        <v>0.55713882</v>
      </c>
      <c r="V16" s="20" t="n">
        <v>0.34901713</v>
      </c>
      <c r="W16" s="18" t="n">
        <v>0</v>
      </c>
      <c r="X16" s="20" t="n">
        <v>0</v>
      </c>
      <c r="Y16" s="18" t="n">
        <v>0</v>
      </c>
      <c r="Z16" s="20" t="n">
        <v>0</v>
      </c>
      <c r="AA16" s="18" t="n">
        <v>45.91916981</v>
      </c>
      <c r="AB16" s="20" t="n">
        <v>2.44322124</v>
      </c>
    </row>
    <row r="17" spans="1:28">
      <c r="A17" s="15" t="s">
        <v>359</v>
      </c>
      <c r="B17" s="17" t="n">
        <v>3197</v>
      </c>
      <c r="C17" s="18">
        <f>(2812.0/B17*100)</f>
        <v/>
      </c>
      <c r="D17" s="19" t="n">
        <v>385</v>
      </c>
      <c r="E17" s="18" t="n">
        <v>36.11475843</v>
      </c>
      <c r="F17" s="20" t="n">
        <v>2.2572666</v>
      </c>
      <c r="G17" s="18" t="n">
        <v>2.91437113</v>
      </c>
      <c r="H17" s="20" t="n">
        <v>0.9423195599999999</v>
      </c>
      <c r="I17" s="18" t="n">
        <v>9.36047874</v>
      </c>
      <c r="J17" s="20" t="n">
        <v>1.46290613</v>
      </c>
      <c r="K17" s="18" t="n">
        <v>1.99261081</v>
      </c>
      <c r="L17" s="20" t="n">
        <v>0.78099812</v>
      </c>
      <c r="M17" s="18" t="n">
        <v>0</v>
      </c>
      <c r="N17" s="20" t="n">
        <v>0</v>
      </c>
      <c r="O17" s="18" t="n">
        <v>8.72445843</v>
      </c>
      <c r="P17" s="20" t="n">
        <v>1.31412631</v>
      </c>
      <c r="Q17" s="18" t="n">
        <v>4.67716994</v>
      </c>
      <c r="R17" s="20" t="n">
        <v>1.03159116</v>
      </c>
      <c r="S17" s="18" t="s">
        <v>349</v>
      </c>
      <c r="T17" s="20" t="s">
        <v>349</v>
      </c>
      <c r="U17" s="18" t="n">
        <v>0.5181183499999999</v>
      </c>
      <c r="V17" s="20" t="n">
        <v>0.36749053</v>
      </c>
      <c r="W17" s="18" t="n">
        <v>0</v>
      </c>
      <c r="X17" s="20" t="n">
        <v>0</v>
      </c>
      <c r="Y17" s="18" t="n">
        <v>0</v>
      </c>
      <c r="Z17" s="20" t="n">
        <v>0</v>
      </c>
      <c r="AA17" s="18" t="n">
        <v>35.69803416</v>
      </c>
      <c r="AB17" s="20" t="n">
        <v>2.3625313</v>
      </c>
    </row>
    <row r="18" spans="1:28">
      <c r="A18" s="15" t="s">
        <v>360</v>
      </c>
      <c r="B18" s="17" t="n">
        <v>2706</v>
      </c>
      <c r="C18" s="18">
        <f>(2390.0/B18*100)</f>
        <v/>
      </c>
      <c r="D18" s="19" t="n">
        <v>316</v>
      </c>
      <c r="E18" s="18" t="n">
        <v>51.7675527</v>
      </c>
      <c r="F18" s="20" t="n">
        <v>3.00067788</v>
      </c>
      <c r="G18" s="18" t="n">
        <v>2.52115262</v>
      </c>
      <c r="H18" s="20" t="n">
        <v>0.94346001</v>
      </c>
      <c r="I18" s="18" t="n">
        <v>1.47501076</v>
      </c>
      <c r="J18" s="20" t="n">
        <v>0.76652496</v>
      </c>
      <c r="K18" s="18" t="n">
        <v>0.78642576</v>
      </c>
      <c r="L18" s="20" t="n">
        <v>0.45701108</v>
      </c>
      <c r="M18" s="18" t="n">
        <v>0.44293126</v>
      </c>
      <c r="N18" s="20" t="n">
        <v>0.32383098</v>
      </c>
      <c r="O18" s="18" t="n">
        <v>4.42882059</v>
      </c>
      <c r="P18" s="20" t="n">
        <v>1.1721583</v>
      </c>
      <c r="Q18" s="18" t="n">
        <v>3.22271911</v>
      </c>
      <c r="R18" s="20" t="n">
        <v>0.9584049</v>
      </c>
      <c r="S18" s="18" t="s">
        <v>349</v>
      </c>
      <c r="T18" s="20" t="s">
        <v>349</v>
      </c>
      <c r="U18" s="18" t="n">
        <v>1.10739166</v>
      </c>
      <c r="V18" s="20" t="n">
        <v>0.52045882</v>
      </c>
      <c r="W18" s="18" t="n">
        <v>0.36024628</v>
      </c>
      <c r="X18" s="20" t="n">
        <v>0.29049961</v>
      </c>
      <c r="Y18" s="18" t="n">
        <v>0</v>
      </c>
      <c r="Z18" s="20" t="n">
        <v>0</v>
      </c>
      <c r="AA18" s="18" t="n">
        <v>33.88774926</v>
      </c>
      <c r="AB18" s="20" t="n">
        <v>2.9029981</v>
      </c>
    </row>
    <row r="19" spans="1:28">
      <c r="A19" s="15" t="s">
        <v>361</v>
      </c>
      <c r="B19" s="17" t="n">
        <v>2850</v>
      </c>
      <c r="C19" s="18">
        <f>(2489.0/B19*100)</f>
        <v/>
      </c>
      <c r="D19" s="19" t="n">
        <v>361</v>
      </c>
      <c r="E19" s="18" t="n">
        <v>50.08574478</v>
      </c>
      <c r="F19" s="20" t="n">
        <v>2.85360445</v>
      </c>
      <c r="G19" s="18" t="n">
        <v>1.57057118</v>
      </c>
      <c r="H19" s="20" t="n">
        <v>0.7779974200000001</v>
      </c>
      <c r="I19" s="18" t="n">
        <v>3.01505066</v>
      </c>
      <c r="J19" s="20" t="n">
        <v>0.814188</v>
      </c>
      <c r="K19" s="18" t="n">
        <v>2.17697966</v>
      </c>
      <c r="L19" s="20" t="n">
        <v>0.68996065</v>
      </c>
      <c r="M19" s="18" t="n">
        <v>0</v>
      </c>
      <c r="N19" s="20" t="n">
        <v>0</v>
      </c>
      <c r="O19" s="18" t="n">
        <v>7.3783875</v>
      </c>
      <c r="P19" s="20" t="n">
        <v>1.27363675</v>
      </c>
      <c r="Q19" s="18" t="n">
        <v>2.95300265</v>
      </c>
      <c r="R19" s="20" t="n">
        <v>1.07350111</v>
      </c>
      <c r="S19" s="18" t="s">
        <v>349</v>
      </c>
      <c r="T19" s="20" t="s">
        <v>349</v>
      </c>
      <c r="U19" s="18" t="n">
        <v>0</v>
      </c>
      <c r="V19" s="20" t="n">
        <v>0</v>
      </c>
      <c r="W19" s="18" t="n">
        <v>0</v>
      </c>
      <c r="X19" s="20" t="n">
        <v>0</v>
      </c>
      <c r="Y19" s="18" t="n">
        <v>0</v>
      </c>
      <c r="Z19" s="20" t="n">
        <v>0</v>
      </c>
      <c r="AA19" s="18" t="n">
        <v>32.82026357</v>
      </c>
      <c r="AB19" s="20" t="n">
        <v>2.89844259</v>
      </c>
    </row>
    <row r="20" spans="1:28">
      <c r="A20" s="15" t="s">
        <v>362</v>
      </c>
      <c r="B20" s="17" t="n">
        <v>1741</v>
      </c>
      <c r="C20" s="18">
        <f>(1520.0/B20*100)</f>
        <v/>
      </c>
      <c r="D20" s="19" t="n">
        <v>221</v>
      </c>
      <c r="E20" s="18" t="n">
        <v>44.56267331</v>
      </c>
      <c r="F20" s="20" t="n">
        <v>3.86980385</v>
      </c>
      <c r="G20" s="18" t="n">
        <v>2.58636744</v>
      </c>
      <c r="H20" s="20" t="n">
        <v>1.0472112</v>
      </c>
      <c r="I20" s="18" t="n">
        <v>10.03871513</v>
      </c>
      <c r="J20" s="20" t="n">
        <v>2.30267258</v>
      </c>
      <c r="K20" s="18" t="n">
        <v>1.69885519</v>
      </c>
      <c r="L20" s="20" t="n">
        <v>0.84195696</v>
      </c>
      <c r="M20" s="18" t="n">
        <v>0</v>
      </c>
      <c r="N20" s="20" t="n">
        <v>0</v>
      </c>
      <c r="O20" s="18" t="n">
        <v>12.91817953</v>
      </c>
      <c r="P20" s="20" t="n">
        <v>2.45887008</v>
      </c>
      <c r="Q20" s="18" t="n">
        <v>3.81762868</v>
      </c>
      <c r="R20" s="20" t="n">
        <v>1.15335492</v>
      </c>
      <c r="S20" s="18" t="s">
        <v>349</v>
      </c>
      <c r="T20" s="20" t="s">
        <v>349</v>
      </c>
      <c r="U20" s="18" t="n">
        <v>0</v>
      </c>
      <c r="V20" s="20" t="n">
        <v>0</v>
      </c>
      <c r="W20" s="18" t="n">
        <v>0.69219973</v>
      </c>
      <c r="X20" s="20" t="n">
        <v>0.6790011500000001</v>
      </c>
      <c r="Y20" s="18" t="n">
        <v>0</v>
      </c>
      <c r="Z20" s="20" t="n">
        <v>0</v>
      </c>
      <c r="AA20" s="18" t="n">
        <v>23.68538098</v>
      </c>
      <c r="AB20" s="20" t="n">
        <v>3.1105704</v>
      </c>
    </row>
    <row r="21" spans="1:28">
      <c r="A21" s="15" t="s">
        <v>363</v>
      </c>
      <c r="B21" s="17" t="n">
        <v>2833</v>
      </c>
      <c r="C21" s="18">
        <f>(2374.0/B21*100)</f>
        <v/>
      </c>
      <c r="D21" s="19" t="n">
        <v>459</v>
      </c>
      <c r="E21" s="18" t="n">
        <v>52.58697377</v>
      </c>
      <c r="F21" s="20" t="n">
        <v>2.46172079</v>
      </c>
      <c r="G21" s="18" t="n">
        <v>4.2354518</v>
      </c>
      <c r="H21" s="20" t="n">
        <v>0.90516444</v>
      </c>
      <c r="I21" s="18" t="n">
        <v>4.80228326</v>
      </c>
      <c r="J21" s="20" t="n">
        <v>1.18435351</v>
      </c>
      <c r="K21" s="18" t="n">
        <v>7.63771863</v>
      </c>
      <c r="L21" s="20" t="n">
        <v>1.13408</v>
      </c>
      <c r="M21" s="18" t="n">
        <v>0.18028178</v>
      </c>
      <c r="N21" s="20" t="n">
        <v>0.18103819</v>
      </c>
      <c r="O21" s="18" t="n">
        <v>10.44083624</v>
      </c>
      <c r="P21" s="20" t="n">
        <v>1.41892785</v>
      </c>
      <c r="Q21" s="18" t="n">
        <v>2.00849642</v>
      </c>
      <c r="R21" s="20" t="n">
        <v>0.5328857</v>
      </c>
      <c r="S21" s="18" t="s">
        <v>349</v>
      </c>
      <c r="T21" s="20" t="s">
        <v>349</v>
      </c>
      <c r="U21" s="18" t="n">
        <v>0.18335074</v>
      </c>
      <c r="V21" s="20" t="n">
        <v>0.18153487</v>
      </c>
      <c r="W21" s="18" t="n">
        <v>0.21202608</v>
      </c>
      <c r="X21" s="20" t="n">
        <v>0.21069762</v>
      </c>
      <c r="Y21" s="18" t="n">
        <v>0</v>
      </c>
      <c r="Z21" s="20" t="n">
        <v>0</v>
      </c>
      <c r="AA21" s="18" t="n">
        <v>17.71258128</v>
      </c>
      <c r="AB21" s="20" t="n">
        <v>1.69280776</v>
      </c>
    </row>
    <row r="22" spans="1:28">
      <c r="A22" s="15" t="s">
        <v>364</v>
      </c>
      <c r="B22" s="17" t="n">
        <v>3667</v>
      </c>
      <c r="C22" s="18">
        <f>(3201.0/B22*100)</f>
        <v/>
      </c>
      <c r="D22" s="19" t="n">
        <v>466</v>
      </c>
      <c r="E22" s="18" t="n">
        <v>48.79424649</v>
      </c>
      <c r="F22" s="20" t="n">
        <v>2.18353044</v>
      </c>
      <c r="G22" s="18" t="n">
        <v>0.98161937</v>
      </c>
      <c r="H22" s="20" t="n">
        <v>0.43848871</v>
      </c>
      <c r="I22" s="18" t="n">
        <v>2.68807894</v>
      </c>
      <c r="J22" s="20" t="n">
        <v>0.70028781</v>
      </c>
      <c r="K22" s="18" t="n">
        <v>1.22889567</v>
      </c>
      <c r="L22" s="20" t="n">
        <v>0.50036666</v>
      </c>
      <c r="M22" s="18" t="n">
        <v>0</v>
      </c>
      <c r="N22" s="20" t="n">
        <v>0</v>
      </c>
      <c r="O22" s="18" t="n">
        <v>3.97531165</v>
      </c>
      <c r="P22" s="20" t="n">
        <v>0.72302506</v>
      </c>
      <c r="Q22" s="18" t="n">
        <v>4.30871536</v>
      </c>
      <c r="R22" s="20" t="n">
        <v>0.94422856</v>
      </c>
      <c r="S22" s="18" t="s">
        <v>349</v>
      </c>
      <c r="T22" s="20" t="s">
        <v>349</v>
      </c>
      <c r="U22" s="18" t="n">
        <v>0.38617984</v>
      </c>
      <c r="V22" s="20" t="n">
        <v>0.27046995</v>
      </c>
      <c r="W22" s="18" t="n">
        <v>0.80186993</v>
      </c>
      <c r="X22" s="20" t="n">
        <v>0.55811461</v>
      </c>
      <c r="Y22" s="18" t="n">
        <v>0</v>
      </c>
      <c r="Z22" s="20" t="n">
        <v>0</v>
      </c>
      <c r="AA22" s="18" t="n">
        <v>36.83508276</v>
      </c>
      <c r="AB22" s="20" t="n">
        <v>2.07520384</v>
      </c>
    </row>
    <row r="23" spans="1:28">
      <c r="A23" s="15" t="s">
        <v>365</v>
      </c>
      <c r="B23" s="17" t="n">
        <v>5792</v>
      </c>
      <c r="C23" s="18">
        <f>(5050.0/B23*100)</f>
        <v/>
      </c>
      <c r="D23" s="19" t="n">
        <v>742</v>
      </c>
      <c r="E23" s="18" t="n">
        <v>39.71744307</v>
      </c>
      <c r="F23" s="20" t="n">
        <v>2.23241897</v>
      </c>
      <c r="G23" s="18" t="n">
        <v>0.81280361</v>
      </c>
      <c r="H23" s="20" t="n">
        <v>0.52436995</v>
      </c>
      <c r="I23" s="18" t="n">
        <v>8.584424719999999</v>
      </c>
      <c r="J23" s="20" t="n">
        <v>1.36214607</v>
      </c>
      <c r="K23" s="18" t="n">
        <v>0.86070107</v>
      </c>
      <c r="L23" s="20" t="n">
        <v>0.41971964</v>
      </c>
      <c r="M23" s="18" t="n">
        <v>0.12616979</v>
      </c>
      <c r="N23" s="20" t="n">
        <v>0.1116921</v>
      </c>
      <c r="O23" s="18" t="n">
        <v>4.76030716</v>
      </c>
      <c r="P23" s="20" t="n">
        <v>1.05218884</v>
      </c>
      <c r="Q23" s="18" t="n">
        <v>2.30631433</v>
      </c>
      <c r="R23" s="20" t="n">
        <v>0.72922877</v>
      </c>
      <c r="S23" s="18" t="s">
        <v>349</v>
      </c>
      <c r="T23" s="20" t="s">
        <v>349</v>
      </c>
      <c r="U23" s="18" t="n">
        <v>0.92313293</v>
      </c>
      <c r="V23" s="20" t="n">
        <v>0.56380244</v>
      </c>
      <c r="W23" s="18" t="n">
        <v>0</v>
      </c>
      <c r="X23" s="20" t="n">
        <v>0</v>
      </c>
      <c r="Y23" s="18" t="n">
        <v>0</v>
      </c>
      <c r="Z23" s="20" t="n">
        <v>0</v>
      </c>
      <c r="AA23" s="18" t="n">
        <v>41.90870333</v>
      </c>
      <c r="AB23" s="20" t="n">
        <v>2.11379098</v>
      </c>
    </row>
    <row r="24" spans="1:28">
      <c r="A24" s="15" t="s">
        <v>366</v>
      </c>
      <c r="B24" s="17" t="n">
        <v>3309</v>
      </c>
      <c r="C24" s="18">
        <f>(2881.0/B24*100)</f>
        <v/>
      </c>
      <c r="D24" s="19" t="n">
        <v>428</v>
      </c>
      <c r="E24" s="18" t="n">
        <v>34.38276775</v>
      </c>
      <c r="F24" s="20" t="n">
        <v>2.4729139</v>
      </c>
      <c r="G24" s="18" t="n">
        <v>4.14049114</v>
      </c>
      <c r="H24" s="20" t="n">
        <v>1.00398857</v>
      </c>
      <c r="I24" s="18" t="n">
        <v>5.8262158</v>
      </c>
      <c r="J24" s="20" t="n">
        <v>1.03828944</v>
      </c>
      <c r="K24" s="18" t="n">
        <v>1.82679544</v>
      </c>
      <c r="L24" s="20" t="n">
        <v>0.6088314</v>
      </c>
      <c r="M24" s="18" t="n">
        <v>0</v>
      </c>
      <c r="N24" s="20" t="n">
        <v>0</v>
      </c>
      <c r="O24" s="18" t="n">
        <v>13.08213686</v>
      </c>
      <c r="P24" s="20" t="n">
        <v>1.90276694</v>
      </c>
      <c r="Q24" s="18" t="n">
        <v>3.25614813</v>
      </c>
      <c r="R24" s="20" t="n">
        <v>0.85910884</v>
      </c>
      <c r="S24" s="18" t="s">
        <v>349</v>
      </c>
      <c r="T24" s="20" t="s">
        <v>349</v>
      </c>
      <c r="U24" s="18" t="n">
        <v>0.2126946</v>
      </c>
      <c r="V24" s="20" t="n">
        <v>0.21206677</v>
      </c>
      <c r="W24" s="18" t="n">
        <v>0.22844891</v>
      </c>
      <c r="X24" s="20" t="n">
        <v>0.23069387</v>
      </c>
      <c r="Y24" s="18" t="n">
        <v>0</v>
      </c>
      <c r="Z24" s="20" t="n">
        <v>0</v>
      </c>
      <c r="AA24" s="18" t="n">
        <v>37.04430137</v>
      </c>
      <c r="AB24" s="20" t="n">
        <v>2.55039389</v>
      </c>
    </row>
    <row r="25" spans="1:28">
      <c r="A25" s="15" t="s">
        <v>367</v>
      </c>
      <c r="B25" s="17" t="n">
        <v>2669</v>
      </c>
      <c r="C25" s="18">
        <f>(2340.0/B25*100)</f>
        <v/>
      </c>
      <c r="D25" s="19" t="n">
        <v>329</v>
      </c>
      <c r="E25" s="18" t="n">
        <v>36.20810487</v>
      </c>
      <c r="F25" s="20" t="n">
        <v>2.85987192</v>
      </c>
      <c r="G25" s="18" t="n">
        <v>1.96234557</v>
      </c>
      <c r="H25" s="20" t="n">
        <v>0.78795903</v>
      </c>
      <c r="I25" s="18" t="n">
        <v>16.01164422</v>
      </c>
      <c r="J25" s="20" t="n">
        <v>1.92663721</v>
      </c>
      <c r="K25" s="18" t="n">
        <v>8.14471799</v>
      </c>
      <c r="L25" s="20" t="n">
        <v>1.54263866</v>
      </c>
      <c r="M25" s="18" t="n">
        <v>0</v>
      </c>
      <c r="N25" s="20" t="n">
        <v>0</v>
      </c>
      <c r="O25" s="18" t="n">
        <v>11.30206092</v>
      </c>
      <c r="P25" s="20" t="n">
        <v>2.09492398</v>
      </c>
      <c r="Q25" s="18" t="n">
        <v>8.68134809</v>
      </c>
      <c r="R25" s="20" t="n">
        <v>1.59809147</v>
      </c>
      <c r="S25" s="18" t="s">
        <v>349</v>
      </c>
      <c r="T25" s="20" t="s">
        <v>349</v>
      </c>
      <c r="U25" s="18" t="n">
        <v>0</v>
      </c>
      <c r="V25" s="20" t="n">
        <v>0</v>
      </c>
      <c r="W25" s="18" t="n">
        <v>0</v>
      </c>
      <c r="X25" s="20" t="n">
        <v>0</v>
      </c>
      <c r="Y25" s="18" t="n">
        <v>0</v>
      </c>
      <c r="Z25" s="20" t="n">
        <v>0</v>
      </c>
      <c r="AA25" s="18" t="n">
        <v>17.68977834</v>
      </c>
      <c r="AB25" s="20" t="n">
        <v>2.38305774</v>
      </c>
    </row>
    <row r="26" spans="1:28">
      <c r="A26" s="15" t="s">
        <v>368</v>
      </c>
      <c r="B26" s="17" t="n">
        <v>2419</v>
      </c>
      <c r="C26" s="18">
        <f>(2121.0/B26*100)</f>
        <v/>
      </c>
      <c r="D26" s="19" t="n">
        <v>298</v>
      </c>
      <c r="E26" s="18" t="n">
        <v>64.33504696</v>
      </c>
      <c r="F26" s="20" t="n">
        <v>2.75095051</v>
      </c>
      <c r="G26" s="18" t="n">
        <v>1.67087177</v>
      </c>
      <c r="H26" s="20" t="n">
        <v>0.67992648</v>
      </c>
      <c r="I26" s="18" t="n">
        <v>0</v>
      </c>
      <c r="J26" s="20" t="n">
        <v>0</v>
      </c>
      <c r="K26" s="18" t="n">
        <v>1.60658242</v>
      </c>
      <c r="L26" s="20" t="n">
        <v>0.72521948</v>
      </c>
      <c r="M26" s="18" t="n">
        <v>0.70087344</v>
      </c>
      <c r="N26" s="20" t="n">
        <v>0.4977648</v>
      </c>
      <c r="O26" s="18" t="n">
        <v>4.82262236</v>
      </c>
      <c r="P26" s="20" t="n">
        <v>1.34943574</v>
      </c>
      <c r="Q26" s="18" t="n">
        <v>3.84135926</v>
      </c>
      <c r="R26" s="20" t="n">
        <v>1.27527657</v>
      </c>
      <c r="S26" s="18" t="s">
        <v>349</v>
      </c>
      <c r="T26" s="20" t="s">
        <v>349</v>
      </c>
      <c r="U26" s="18" t="n">
        <v>0</v>
      </c>
      <c r="V26" s="20" t="n">
        <v>0</v>
      </c>
      <c r="W26" s="18" t="n">
        <v>0.58365165</v>
      </c>
      <c r="X26" s="20" t="n">
        <v>0.40655304</v>
      </c>
      <c r="Y26" s="18" t="n">
        <v>0</v>
      </c>
      <c r="Z26" s="20" t="n">
        <v>0</v>
      </c>
      <c r="AA26" s="18" t="n">
        <v>22.43899215</v>
      </c>
      <c r="AB26" s="20" t="n">
        <v>2.27936548</v>
      </c>
    </row>
    <row r="27" spans="1:28">
      <c r="A27" s="15" t="s">
        <v>369</v>
      </c>
      <c r="B27" s="17" t="n">
        <v>2683</v>
      </c>
      <c r="C27" s="18">
        <f>(2364.0/B27*100)</f>
        <v/>
      </c>
      <c r="D27" s="19" t="n">
        <v>319</v>
      </c>
      <c r="E27" s="18" t="n">
        <v>42.32978642</v>
      </c>
      <c r="F27" s="20" t="n">
        <v>2.24321697</v>
      </c>
      <c r="G27" s="18" t="n">
        <v>1.24507035</v>
      </c>
      <c r="H27" s="20" t="n">
        <v>0.62608625</v>
      </c>
      <c r="I27" s="18" t="n">
        <v>8.34861295</v>
      </c>
      <c r="J27" s="20" t="n">
        <v>1.387363</v>
      </c>
      <c r="K27" s="18" t="n">
        <v>0.94441699</v>
      </c>
      <c r="L27" s="20" t="n">
        <v>0.53148351</v>
      </c>
      <c r="M27" s="18" t="n">
        <v>0</v>
      </c>
      <c r="N27" s="20" t="n">
        <v>0</v>
      </c>
      <c r="O27" s="18" t="n">
        <v>4.43345629</v>
      </c>
      <c r="P27" s="20" t="n">
        <v>1.20945161</v>
      </c>
      <c r="Q27" s="18" t="n">
        <v>3.06003925</v>
      </c>
      <c r="R27" s="20" t="n">
        <v>0.84030931</v>
      </c>
      <c r="S27" s="18" t="s">
        <v>349</v>
      </c>
      <c r="T27" s="20" t="s">
        <v>349</v>
      </c>
      <c r="U27" s="18" t="n">
        <v>0</v>
      </c>
      <c r="V27" s="20" t="n">
        <v>0</v>
      </c>
      <c r="W27" s="18" t="n">
        <v>0</v>
      </c>
      <c r="X27" s="20" t="n">
        <v>0</v>
      </c>
      <c r="Y27" s="18" t="n">
        <v>0</v>
      </c>
      <c r="Z27" s="20" t="n">
        <v>0</v>
      </c>
      <c r="AA27" s="18" t="n">
        <v>39.63861775</v>
      </c>
      <c r="AB27" s="20" t="n">
        <v>2.7385112</v>
      </c>
    </row>
    <row r="28" spans="1:28">
      <c r="A28" s="15" t="s">
        <v>370</v>
      </c>
      <c r="B28" s="17" t="n">
        <v>3803</v>
      </c>
      <c r="C28" s="18">
        <f>(3353.0/B28*100)</f>
        <v/>
      </c>
      <c r="D28" s="19" t="n">
        <v>450</v>
      </c>
      <c r="E28" s="18" t="n">
        <v>68.16948730999999</v>
      </c>
      <c r="F28" s="20" t="n">
        <v>2.1896683</v>
      </c>
      <c r="G28" s="18" t="n">
        <v>0.05073415</v>
      </c>
      <c r="H28" s="20" t="n">
        <v>0.0509576</v>
      </c>
      <c r="I28" s="18" t="n">
        <v>1.76953385</v>
      </c>
      <c r="J28" s="20" t="n">
        <v>0.66727337</v>
      </c>
      <c r="K28" s="18" t="n">
        <v>0</v>
      </c>
      <c r="L28" s="20" t="n">
        <v>0</v>
      </c>
      <c r="M28" s="18" t="n">
        <v>0.33247904</v>
      </c>
      <c r="N28" s="20" t="n">
        <v>0.21051833</v>
      </c>
      <c r="O28" s="18" t="n">
        <v>0.50528896</v>
      </c>
      <c r="P28" s="20" t="n">
        <v>0.29598187</v>
      </c>
      <c r="Q28" s="18" t="n">
        <v>3.90843876</v>
      </c>
      <c r="R28" s="20" t="n">
        <v>0.88628548</v>
      </c>
      <c r="S28" s="18" t="s">
        <v>349</v>
      </c>
      <c r="T28" s="20" t="s">
        <v>349</v>
      </c>
      <c r="U28" s="18" t="n">
        <v>0</v>
      </c>
      <c r="V28" s="20" t="n">
        <v>0</v>
      </c>
      <c r="W28" s="18" t="n">
        <v>0</v>
      </c>
      <c r="X28" s="20" t="n">
        <v>0</v>
      </c>
      <c r="Y28" s="18" t="n">
        <v>0</v>
      </c>
      <c r="Z28" s="20" t="n">
        <v>0</v>
      </c>
      <c r="AA28" s="18" t="n">
        <v>25.26403793</v>
      </c>
      <c r="AB28" s="20" t="n">
        <v>2.11698002</v>
      </c>
    </row>
    <row r="29" spans="1:28">
      <c r="A29" s="15" t="s">
        <v>371</v>
      </c>
      <c r="B29" s="17" t="n">
        <v>2700</v>
      </c>
      <c r="C29" s="18">
        <f>(2388.0/B29*100)</f>
        <v/>
      </c>
      <c r="D29" s="19" t="n">
        <v>312</v>
      </c>
      <c r="E29" s="18" t="n">
        <v>54.38344663</v>
      </c>
      <c r="F29" s="20" t="n">
        <v>3.29101821</v>
      </c>
      <c r="G29" s="18" t="n">
        <v>1.37393834</v>
      </c>
      <c r="H29" s="20" t="n">
        <v>0.44993137</v>
      </c>
      <c r="I29" s="18" t="n">
        <v>10.99873661</v>
      </c>
      <c r="J29" s="20" t="n">
        <v>2.09665045</v>
      </c>
      <c r="K29" s="18" t="n">
        <v>2.30101008</v>
      </c>
      <c r="L29" s="20" t="n">
        <v>0.8551623699999999</v>
      </c>
      <c r="M29" s="18" t="n">
        <v>0</v>
      </c>
      <c r="N29" s="20" t="n">
        <v>0</v>
      </c>
      <c r="O29" s="18" t="n">
        <v>14.37016301</v>
      </c>
      <c r="P29" s="20" t="n">
        <v>2.22224068</v>
      </c>
      <c r="Q29" s="18" t="n">
        <v>0.63165035</v>
      </c>
      <c r="R29" s="20" t="n">
        <v>0.42741207</v>
      </c>
      <c r="S29" s="18" t="s">
        <v>349</v>
      </c>
      <c r="T29" s="20" t="s">
        <v>349</v>
      </c>
      <c r="U29" s="18" t="n">
        <v>0</v>
      </c>
      <c r="V29" s="20" t="n">
        <v>0</v>
      </c>
      <c r="W29" s="18" t="n">
        <v>0.59967844</v>
      </c>
      <c r="X29" s="20" t="n">
        <v>0.43965108</v>
      </c>
      <c r="Y29" s="18" t="n">
        <v>0</v>
      </c>
      <c r="Z29" s="20" t="n">
        <v>0</v>
      </c>
      <c r="AA29" s="18" t="n">
        <v>15.34137653</v>
      </c>
      <c r="AB29" s="20" t="n">
        <v>2.17941463</v>
      </c>
    </row>
    <row r="30" spans="1:28">
      <c r="A30" s="15" t="s">
        <v>372</v>
      </c>
      <c r="B30" s="17" t="n">
        <v>2257</v>
      </c>
      <c r="C30" s="18">
        <f>(1966.0/B30*100)</f>
        <v/>
      </c>
      <c r="D30" s="19" t="n">
        <v>291</v>
      </c>
      <c r="E30" s="18" t="n">
        <v>43.66630976</v>
      </c>
      <c r="F30" s="20" t="n">
        <v>2.79740901</v>
      </c>
      <c r="G30" s="18" t="n">
        <v>0.87849647</v>
      </c>
      <c r="H30" s="20" t="n">
        <v>0.6088625600000001</v>
      </c>
      <c r="I30" s="18" t="n">
        <v>9.99718337</v>
      </c>
      <c r="J30" s="20" t="n">
        <v>1.84414302</v>
      </c>
      <c r="K30" s="18" t="n">
        <v>1.02056613</v>
      </c>
      <c r="L30" s="20" t="n">
        <v>0.58602755</v>
      </c>
      <c r="M30" s="18" t="n">
        <v>0.34163829</v>
      </c>
      <c r="N30" s="20" t="n">
        <v>0.34231552</v>
      </c>
      <c r="O30" s="18" t="n">
        <v>8.05022866</v>
      </c>
      <c r="P30" s="20" t="n">
        <v>1.50973035</v>
      </c>
      <c r="Q30" s="18" t="n">
        <v>4.41930371</v>
      </c>
      <c r="R30" s="20" t="n">
        <v>1.43554549</v>
      </c>
      <c r="S30" s="18" t="s">
        <v>349</v>
      </c>
      <c r="T30" s="20" t="s">
        <v>349</v>
      </c>
      <c r="U30" s="18" t="n">
        <v>0.32504146</v>
      </c>
      <c r="V30" s="20" t="n">
        <v>0.29006415</v>
      </c>
      <c r="W30" s="18" t="n">
        <v>0.31677193</v>
      </c>
      <c r="X30" s="20" t="n">
        <v>0.3165596</v>
      </c>
      <c r="Y30" s="18" t="n">
        <v>0</v>
      </c>
      <c r="Z30" s="20" t="n">
        <v>0</v>
      </c>
      <c r="AA30" s="18" t="n">
        <v>30.98446023</v>
      </c>
      <c r="AB30" s="20" t="n">
        <v>2.4870203</v>
      </c>
    </row>
    <row r="31" spans="1:28">
      <c r="A31" s="15" t="s">
        <v>373</v>
      </c>
      <c r="B31" s="17" t="n">
        <v>2706</v>
      </c>
      <c r="C31" s="18">
        <f>(2370.0/B31*100)</f>
        <v/>
      </c>
      <c r="D31" s="19" t="n">
        <v>336</v>
      </c>
      <c r="E31" s="18" t="n">
        <v>38.28223736</v>
      </c>
      <c r="F31" s="20" t="n">
        <v>2.5519137</v>
      </c>
      <c r="G31" s="18" t="n">
        <v>1.135669</v>
      </c>
      <c r="H31" s="20" t="n">
        <v>0.5561886700000001</v>
      </c>
      <c r="I31" s="18" t="n">
        <v>9.327666860000001</v>
      </c>
      <c r="J31" s="20" t="n">
        <v>1.59904796</v>
      </c>
      <c r="K31" s="18" t="n">
        <v>1.7254523</v>
      </c>
      <c r="L31" s="20" t="n">
        <v>0.69396813</v>
      </c>
      <c r="M31" s="18" t="n">
        <v>0</v>
      </c>
      <c r="N31" s="20" t="n">
        <v>0</v>
      </c>
      <c r="O31" s="18" t="n">
        <v>8.7058067</v>
      </c>
      <c r="P31" s="20" t="n">
        <v>1.47192417</v>
      </c>
      <c r="Q31" s="18" t="n">
        <v>3.70897082</v>
      </c>
      <c r="R31" s="20" t="n">
        <v>0.96421649</v>
      </c>
      <c r="S31" s="18" t="s">
        <v>349</v>
      </c>
      <c r="T31" s="20" t="s">
        <v>349</v>
      </c>
      <c r="U31" s="18" t="n">
        <v>0.64138202</v>
      </c>
      <c r="V31" s="20" t="n">
        <v>0.44481297</v>
      </c>
      <c r="W31" s="18" t="n">
        <v>0</v>
      </c>
      <c r="X31" s="20" t="n">
        <v>0</v>
      </c>
      <c r="Y31" s="18" t="n">
        <v>0</v>
      </c>
      <c r="Z31" s="20" t="n">
        <v>0</v>
      </c>
      <c r="AA31" s="18" t="n">
        <v>36.47281494</v>
      </c>
      <c r="AB31" s="20" t="n">
        <v>2.81975181</v>
      </c>
    </row>
    <row r="32" spans="1:28">
      <c r="A32" s="15" t="s">
        <v>374</v>
      </c>
      <c r="B32" s="17" t="n">
        <v>2209</v>
      </c>
      <c r="C32" s="18">
        <f>(1856.0/B32*100)</f>
        <v/>
      </c>
      <c r="D32" s="19" t="n">
        <v>353</v>
      </c>
      <c r="E32" s="18" t="n">
        <v>37.53318848</v>
      </c>
      <c r="F32" s="20" t="n">
        <v>2.45919606</v>
      </c>
      <c r="G32" s="18" t="n">
        <v>1.78002773</v>
      </c>
      <c r="H32" s="20" t="n">
        <v>0.74880432</v>
      </c>
      <c r="I32" s="18" t="n">
        <v>13.47959129</v>
      </c>
      <c r="J32" s="20" t="n">
        <v>1.99643172</v>
      </c>
      <c r="K32" s="18" t="n">
        <v>4.54090779</v>
      </c>
      <c r="L32" s="20" t="n">
        <v>0.90122112</v>
      </c>
      <c r="M32" s="18" t="n">
        <v>0</v>
      </c>
      <c r="N32" s="20" t="n">
        <v>0</v>
      </c>
      <c r="O32" s="18" t="n">
        <v>15.14107757</v>
      </c>
      <c r="P32" s="20" t="n">
        <v>1.99358137</v>
      </c>
      <c r="Q32" s="18" t="n">
        <v>4.61209573</v>
      </c>
      <c r="R32" s="20" t="n">
        <v>1.04415173</v>
      </c>
      <c r="S32" s="18" t="s">
        <v>349</v>
      </c>
      <c r="T32" s="20" t="s">
        <v>349</v>
      </c>
      <c r="U32" s="18" t="n">
        <v>0</v>
      </c>
      <c r="V32" s="20" t="n">
        <v>0</v>
      </c>
      <c r="W32" s="18" t="n">
        <v>0.2700637</v>
      </c>
      <c r="X32" s="20" t="n">
        <v>0.26302882</v>
      </c>
      <c r="Y32" s="18" t="n">
        <v>0</v>
      </c>
      <c r="Z32" s="20" t="n">
        <v>0</v>
      </c>
      <c r="AA32" s="18" t="n">
        <v>22.64304771</v>
      </c>
      <c r="AB32" s="20" t="n">
        <v>2.18054376</v>
      </c>
    </row>
    <row r="33" spans="1:28">
      <c r="A33" s="15" t="s">
        <v>375</v>
      </c>
      <c r="B33" s="17" t="n">
        <v>3651</v>
      </c>
      <c r="C33" s="18">
        <f>(3207.0/B33*100)</f>
        <v/>
      </c>
      <c r="D33" s="19" t="n">
        <v>444</v>
      </c>
      <c r="E33" s="18" t="n">
        <v>41.95106573</v>
      </c>
      <c r="F33" s="20" t="n">
        <v>2.58760828</v>
      </c>
      <c r="G33" s="18" t="n">
        <v>0.55559514</v>
      </c>
      <c r="H33" s="20" t="n">
        <v>0.44620756</v>
      </c>
      <c r="I33" s="18" t="n">
        <v>4.16830475</v>
      </c>
      <c r="J33" s="20" t="n">
        <v>1.20582429</v>
      </c>
      <c r="K33" s="18" t="n">
        <v>0.6942725</v>
      </c>
      <c r="L33" s="20" t="n">
        <v>0.49822584</v>
      </c>
      <c r="M33" s="18" t="n">
        <v>0.4280127</v>
      </c>
      <c r="N33" s="20" t="n">
        <v>0.3080454</v>
      </c>
      <c r="O33" s="18" t="n">
        <v>10.292637</v>
      </c>
      <c r="P33" s="20" t="n">
        <v>1.6507436</v>
      </c>
      <c r="Q33" s="18" t="n">
        <v>0.33803864</v>
      </c>
      <c r="R33" s="20" t="n">
        <v>0.19173279</v>
      </c>
      <c r="S33" s="18" t="s">
        <v>349</v>
      </c>
      <c r="T33" s="20" t="s">
        <v>349</v>
      </c>
      <c r="U33" s="18" t="n">
        <v>0</v>
      </c>
      <c r="V33" s="20" t="n">
        <v>0</v>
      </c>
      <c r="W33" s="18" t="n">
        <v>0</v>
      </c>
      <c r="X33" s="20" t="n">
        <v>0</v>
      </c>
      <c r="Y33" s="18" t="n">
        <v>0</v>
      </c>
      <c r="Z33" s="20" t="n">
        <v>0</v>
      </c>
      <c r="AA33" s="18" t="n">
        <v>41.57207355</v>
      </c>
      <c r="AB33" s="20" t="n">
        <v>2.85295908</v>
      </c>
    </row>
    <row r="34" spans="1:28">
      <c r="A34" s="15" t="s">
        <v>376</v>
      </c>
      <c r="B34" s="17" t="n">
        <v>3035</v>
      </c>
      <c r="C34" s="18">
        <f>(2673.0/B34*100)</f>
        <v/>
      </c>
      <c r="D34" s="19" t="n">
        <v>362</v>
      </c>
      <c r="E34" s="18" t="n">
        <v>49.1870388</v>
      </c>
      <c r="F34" s="20" t="n">
        <v>3.08539613</v>
      </c>
      <c r="G34" s="18" t="n">
        <v>0.87135595</v>
      </c>
      <c r="H34" s="20" t="n">
        <v>0.51015053</v>
      </c>
      <c r="I34" s="18" t="n">
        <v>10.2519361</v>
      </c>
      <c r="J34" s="20" t="n">
        <v>1.60415295</v>
      </c>
      <c r="K34" s="18" t="n">
        <v>1.8715772</v>
      </c>
      <c r="L34" s="20" t="n">
        <v>0.9325123400000001</v>
      </c>
      <c r="M34" s="18" t="n">
        <v>0.07915947</v>
      </c>
      <c r="N34" s="20" t="n">
        <v>0.07948744000000001</v>
      </c>
      <c r="O34" s="18" t="n">
        <v>9.59178683</v>
      </c>
      <c r="P34" s="20" t="n">
        <v>1.64094785</v>
      </c>
      <c r="Q34" s="18" t="n">
        <v>6.56447384</v>
      </c>
      <c r="R34" s="20" t="n">
        <v>1.63320095</v>
      </c>
      <c r="S34" s="18" t="s">
        <v>349</v>
      </c>
      <c r="T34" s="20" t="s">
        <v>349</v>
      </c>
      <c r="U34" s="18" t="n">
        <v>0</v>
      </c>
      <c r="V34" s="20" t="n">
        <v>0</v>
      </c>
      <c r="W34" s="18" t="n">
        <v>0</v>
      </c>
      <c r="X34" s="20" t="n">
        <v>0</v>
      </c>
      <c r="Y34" s="18" t="n">
        <v>0</v>
      </c>
      <c r="Z34" s="20" t="n">
        <v>0</v>
      </c>
      <c r="AA34" s="18" t="n">
        <v>21.58267182</v>
      </c>
      <c r="AB34" s="20" t="n">
        <v>2.83173399</v>
      </c>
    </row>
    <row r="35" spans="1:28">
      <c r="A35" s="15" t="s">
        <v>377</v>
      </c>
      <c r="B35" s="17" t="n">
        <v>2901</v>
      </c>
      <c r="C35" s="18">
        <f>(2545.0/B35*100)</f>
        <v/>
      </c>
      <c r="D35" s="19" t="n">
        <v>356</v>
      </c>
      <c r="E35" s="18" t="n">
        <v>37.46495537</v>
      </c>
      <c r="F35" s="20" t="n">
        <v>3.22751417</v>
      </c>
      <c r="G35" s="18" t="n">
        <v>0.48972724</v>
      </c>
      <c r="H35" s="20" t="n">
        <v>0.39416416</v>
      </c>
      <c r="I35" s="18" t="n">
        <v>10.73631017</v>
      </c>
      <c r="J35" s="20" t="n">
        <v>2.08028867</v>
      </c>
      <c r="K35" s="18" t="n">
        <v>0.64786004</v>
      </c>
      <c r="L35" s="20" t="n">
        <v>0.52536586</v>
      </c>
      <c r="M35" s="18" t="n">
        <v>0</v>
      </c>
      <c r="N35" s="20" t="n">
        <v>0</v>
      </c>
      <c r="O35" s="18" t="n">
        <v>14.83808864</v>
      </c>
      <c r="P35" s="20" t="n">
        <v>2.4922552</v>
      </c>
      <c r="Q35" s="18" t="n">
        <v>3.32045364</v>
      </c>
      <c r="R35" s="20" t="n">
        <v>0.89817001</v>
      </c>
      <c r="S35" s="18" t="s">
        <v>349</v>
      </c>
      <c r="T35" s="20" t="s">
        <v>349</v>
      </c>
      <c r="U35" s="18" t="n">
        <v>0</v>
      </c>
      <c r="V35" s="20" t="n">
        <v>0</v>
      </c>
      <c r="W35" s="18" t="n">
        <v>0</v>
      </c>
      <c r="X35" s="20" t="n">
        <v>0</v>
      </c>
      <c r="Y35" s="18" t="n">
        <v>0</v>
      </c>
      <c r="Z35" s="20" t="n">
        <v>0</v>
      </c>
      <c r="AA35" s="18" t="n">
        <v>32.5026049</v>
      </c>
      <c r="AB35" s="20" t="n">
        <v>3.59740759</v>
      </c>
    </row>
    <row r="36" spans="1:28">
      <c r="A36" s="15" t="s">
        <v>378</v>
      </c>
      <c r="B36" s="17" t="n">
        <v>3404</v>
      </c>
      <c r="C36" s="18">
        <f>(3000.0/B36*100)</f>
        <v/>
      </c>
      <c r="D36" s="19" t="n">
        <v>404</v>
      </c>
      <c r="E36" s="18" t="n">
        <v>47.39156452</v>
      </c>
      <c r="F36" s="20" t="n">
        <v>2.4532228</v>
      </c>
      <c r="G36" s="18" t="n">
        <v>1.18271949</v>
      </c>
      <c r="H36" s="20" t="n">
        <v>0.54837945</v>
      </c>
      <c r="I36" s="18" t="n">
        <v>4.37324501</v>
      </c>
      <c r="J36" s="20" t="n">
        <v>1.16674072</v>
      </c>
      <c r="K36" s="18" t="n">
        <v>2.16179841</v>
      </c>
      <c r="L36" s="20" t="n">
        <v>0.76030071</v>
      </c>
      <c r="M36" s="18" t="n">
        <v>1.41621716</v>
      </c>
      <c r="N36" s="20" t="n">
        <v>0.53824356</v>
      </c>
      <c r="O36" s="18" t="n">
        <v>3.23549323</v>
      </c>
      <c r="P36" s="20" t="n">
        <v>0.76081007</v>
      </c>
      <c r="Q36" s="18" t="n">
        <v>2.47929441</v>
      </c>
      <c r="R36" s="20" t="n">
        <v>0.78668797</v>
      </c>
      <c r="S36" s="18" t="s">
        <v>349</v>
      </c>
      <c r="T36" s="20" t="s">
        <v>349</v>
      </c>
      <c r="U36" s="18" t="n">
        <v>0.37611293</v>
      </c>
      <c r="V36" s="20" t="n">
        <v>0.38514868</v>
      </c>
      <c r="W36" s="18" t="n">
        <v>0</v>
      </c>
      <c r="X36" s="20" t="n">
        <v>0</v>
      </c>
      <c r="Y36" s="18" t="n">
        <v>0</v>
      </c>
      <c r="Z36" s="20" t="n">
        <v>0</v>
      </c>
      <c r="AA36" s="18" t="n">
        <v>37.38355485</v>
      </c>
      <c r="AB36" s="20" t="n">
        <v>2.57582903</v>
      </c>
    </row>
    <row r="37" spans="1:28">
      <c r="A37" s="15" t="s">
        <v>379</v>
      </c>
      <c r="B37" s="17" t="n">
        <v>2731</v>
      </c>
      <c r="C37" s="18">
        <f>(2417.0/B37*100)</f>
        <v/>
      </c>
      <c r="D37" s="19" t="n">
        <v>314</v>
      </c>
      <c r="E37" s="18" t="n">
        <v>34.69991256</v>
      </c>
      <c r="F37" s="20" t="n">
        <v>2.77917682</v>
      </c>
      <c r="G37" s="18" t="n">
        <v>1.78378125</v>
      </c>
      <c r="H37" s="20" t="n">
        <v>0.72516413</v>
      </c>
      <c r="I37" s="18" t="n">
        <v>10.07361506</v>
      </c>
      <c r="J37" s="20" t="n">
        <v>1.73358818</v>
      </c>
      <c r="K37" s="18" t="n">
        <v>0</v>
      </c>
      <c r="L37" s="20" t="n">
        <v>0</v>
      </c>
      <c r="M37" s="18" t="n">
        <v>0</v>
      </c>
      <c r="N37" s="20" t="n">
        <v>0</v>
      </c>
      <c r="O37" s="18" t="n">
        <v>12.01467657</v>
      </c>
      <c r="P37" s="20" t="n">
        <v>3.21570753</v>
      </c>
      <c r="Q37" s="18" t="n">
        <v>2.79780954</v>
      </c>
      <c r="R37" s="20" t="n">
        <v>0.9583748600000001</v>
      </c>
      <c r="S37" s="18" t="s">
        <v>349</v>
      </c>
      <c r="T37" s="20" t="s">
        <v>349</v>
      </c>
      <c r="U37" s="18" t="n">
        <v>0.95885104</v>
      </c>
      <c r="V37" s="20" t="n">
        <v>0.5449254</v>
      </c>
      <c r="W37" s="18" t="n">
        <v>0</v>
      </c>
      <c r="X37" s="20" t="n">
        <v>0</v>
      </c>
      <c r="Y37" s="18" t="n">
        <v>0</v>
      </c>
      <c r="Z37" s="20" t="n">
        <v>0</v>
      </c>
      <c r="AA37" s="18" t="n">
        <v>37.67135398</v>
      </c>
      <c r="AB37" s="20" t="n">
        <v>3.43168853</v>
      </c>
    </row>
    <row r="38" spans="1:28">
      <c r="A38" s="15" t="s">
        <v>380</v>
      </c>
      <c r="B38" s="17" t="n">
        <v>2807</v>
      </c>
      <c r="C38" s="18">
        <f>(2341.0/B38*100)</f>
        <v/>
      </c>
      <c r="D38" s="19" t="n">
        <v>466</v>
      </c>
      <c r="E38" s="18" t="n">
        <v>40.61173077</v>
      </c>
      <c r="F38" s="20" t="n">
        <v>2.221707</v>
      </c>
      <c r="G38" s="18" t="n">
        <v>3.786879</v>
      </c>
      <c r="H38" s="20" t="n">
        <v>1.12626875</v>
      </c>
      <c r="I38" s="18" t="n">
        <v>7.36895638</v>
      </c>
      <c r="J38" s="20" t="n">
        <v>1.40046768</v>
      </c>
      <c r="K38" s="18" t="n">
        <v>4.85884271</v>
      </c>
      <c r="L38" s="20" t="n">
        <v>0.98136115</v>
      </c>
      <c r="M38" s="18" t="n">
        <v>0.6292742</v>
      </c>
      <c r="N38" s="20" t="n">
        <v>0.36122714</v>
      </c>
      <c r="O38" s="18" t="n">
        <v>9.37825379</v>
      </c>
      <c r="P38" s="20" t="n">
        <v>1.43012361</v>
      </c>
      <c r="Q38" s="18" t="n">
        <v>4.28911026</v>
      </c>
      <c r="R38" s="20" t="n">
        <v>1.08606149</v>
      </c>
      <c r="S38" s="18" t="s">
        <v>349</v>
      </c>
      <c r="T38" s="20" t="s">
        <v>349</v>
      </c>
      <c r="U38" s="18" t="n">
        <v>0.87421015</v>
      </c>
      <c r="V38" s="20" t="n">
        <v>0.44057378</v>
      </c>
      <c r="W38" s="18" t="n">
        <v>0</v>
      </c>
      <c r="X38" s="20" t="n">
        <v>0</v>
      </c>
      <c r="Y38" s="18" t="n">
        <v>0</v>
      </c>
      <c r="Z38" s="20" t="n">
        <v>0</v>
      </c>
      <c r="AA38" s="18" t="n">
        <v>28.20274274</v>
      </c>
      <c r="AB38" s="20" t="n">
        <v>2.21078345</v>
      </c>
    </row>
    <row r="39" spans="1:28">
      <c r="A39" s="15" t="s">
        <v>381</v>
      </c>
      <c r="B39" s="17" t="n">
        <v>2938</v>
      </c>
      <c r="C39" s="18">
        <f>(2578.0/B39*100)</f>
        <v/>
      </c>
      <c r="D39" s="19" t="n">
        <v>360</v>
      </c>
      <c r="E39" s="18" t="n">
        <v>53.50390133</v>
      </c>
      <c r="F39" s="20" t="n">
        <v>2.79689018</v>
      </c>
      <c r="G39" s="18" t="n">
        <v>0.98288231</v>
      </c>
      <c r="H39" s="20" t="n">
        <v>0.50012634</v>
      </c>
      <c r="I39" s="18" t="n">
        <v>4.97085113</v>
      </c>
      <c r="J39" s="20" t="n">
        <v>1.21697221</v>
      </c>
      <c r="K39" s="18" t="n">
        <v>2.67409458</v>
      </c>
      <c r="L39" s="20" t="n">
        <v>0.86189677</v>
      </c>
      <c r="M39" s="18" t="n">
        <v>0.63481195</v>
      </c>
      <c r="N39" s="20" t="n">
        <v>0.4748642</v>
      </c>
      <c r="O39" s="18" t="n">
        <v>3.10127454</v>
      </c>
      <c r="P39" s="20" t="n">
        <v>1.26090124</v>
      </c>
      <c r="Q39" s="18" t="n">
        <v>4.99867341</v>
      </c>
      <c r="R39" s="20" t="n">
        <v>1.22042476</v>
      </c>
      <c r="S39" s="18" t="s">
        <v>349</v>
      </c>
      <c r="T39" s="20" t="s">
        <v>349</v>
      </c>
      <c r="U39" s="18" t="n">
        <v>0.59949208</v>
      </c>
      <c r="V39" s="20" t="n">
        <v>0.48145623</v>
      </c>
      <c r="W39" s="18" t="n">
        <v>0</v>
      </c>
      <c r="X39" s="20" t="n">
        <v>0</v>
      </c>
      <c r="Y39" s="18" t="n">
        <v>0</v>
      </c>
      <c r="Z39" s="20" t="n">
        <v>0</v>
      </c>
      <c r="AA39" s="18" t="n">
        <v>28.53401868</v>
      </c>
      <c r="AB39" s="20" t="n">
        <v>2.79120671</v>
      </c>
    </row>
    <row r="40" spans="1:28">
      <c r="A40" s="15" t="s">
        <v>382</v>
      </c>
      <c r="B40" s="17" t="n">
        <v>6922</v>
      </c>
      <c r="C40" s="18">
        <f>(6076.0/B40*100)</f>
        <v/>
      </c>
      <c r="D40" s="19" t="n">
        <v>846</v>
      </c>
      <c r="E40" s="18" t="n">
        <v>48.3859154</v>
      </c>
      <c r="F40" s="20" t="n">
        <v>2.53563039</v>
      </c>
      <c r="G40" s="18" t="n">
        <v>3.43646134</v>
      </c>
      <c r="H40" s="20" t="n">
        <v>1.10486543</v>
      </c>
      <c r="I40" s="18" t="n">
        <v>5.86717679</v>
      </c>
      <c r="J40" s="20" t="n">
        <v>1.23148002</v>
      </c>
      <c r="K40" s="18" t="n">
        <v>2.52764302</v>
      </c>
      <c r="L40" s="20" t="n">
        <v>1.11034991</v>
      </c>
      <c r="M40" s="18" t="n">
        <v>0.72593387</v>
      </c>
      <c r="N40" s="20" t="n">
        <v>0.51165925</v>
      </c>
      <c r="O40" s="18" t="n">
        <v>8.745867390000001</v>
      </c>
      <c r="P40" s="20" t="n">
        <v>1.57168057</v>
      </c>
      <c r="Q40" s="18" t="n">
        <v>4.4709695</v>
      </c>
      <c r="R40" s="20" t="n">
        <v>1.26058273</v>
      </c>
      <c r="S40" s="18" t="s">
        <v>349</v>
      </c>
      <c r="T40" s="20" t="s">
        <v>349</v>
      </c>
      <c r="U40" s="18" t="n">
        <v>0.02984365</v>
      </c>
      <c r="V40" s="20" t="n">
        <v>0.03589504</v>
      </c>
      <c r="W40" s="18" t="n">
        <v>0</v>
      </c>
      <c r="X40" s="20" t="n">
        <v>0</v>
      </c>
      <c r="Y40" s="18" t="n">
        <v>0</v>
      </c>
      <c r="Z40" s="20" t="n">
        <v>0</v>
      </c>
      <c r="AA40" s="18" t="n">
        <v>25.81018904</v>
      </c>
      <c r="AB40" s="20" t="n">
        <v>2.24485837</v>
      </c>
    </row>
    <row r="41" spans="1:28">
      <c r="A41" s="15" t="s">
        <v>383</v>
      </c>
      <c r="B41" s="17" t="n">
        <v>2854</v>
      </c>
      <c r="C41" s="18">
        <f>(2508.0/B41*100)</f>
        <v/>
      </c>
      <c r="D41" s="19" t="n">
        <v>346</v>
      </c>
      <c r="E41" s="18" t="n">
        <v>71.98879820000001</v>
      </c>
      <c r="F41" s="20" t="n">
        <v>2.7424512</v>
      </c>
      <c r="G41" s="18" t="n">
        <v>0.98425606</v>
      </c>
      <c r="H41" s="20" t="n">
        <v>0.57155203</v>
      </c>
      <c r="I41" s="18" t="n">
        <v>2.72105185</v>
      </c>
      <c r="J41" s="20" t="n">
        <v>0.91902165</v>
      </c>
      <c r="K41" s="18" t="n">
        <v>3.38869049</v>
      </c>
      <c r="L41" s="20" t="n">
        <v>1.06109252</v>
      </c>
      <c r="M41" s="18" t="n">
        <v>0</v>
      </c>
      <c r="N41" s="20" t="n">
        <v>0</v>
      </c>
      <c r="O41" s="18" t="n">
        <v>7.49757091</v>
      </c>
      <c r="P41" s="20" t="n">
        <v>1.78303224</v>
      </c>
      <c r="Q41" s="18" t="n">
        <v>3.39031023</v>
      </c>
      <c r="R41" s="20" t="n">
        <v>1.15027512</v>
      </c>
      <c r="S41" s="18" t="s">
        <v>349</v>
      </c>
      <c r="T41" s="20" t="s">
        <v>349</v>
      </c>
      <c r="U41" s="18" t="n">
        <v>0.331832</v>
      </c>
      <c r="V41" s="20" t="n">
        <v>0.33842879</v>
      </c>
      <c r="W41" s="18" t="n">
        <v>0</v>
      </c>
      <c r="X41" s="20" t="n">
        <v>0</v>
      </c>
      <c r="Y41" s="18" t="n">
        <v>0</v>
      </c>
      <c r="Z41" s="20" t="n">
        <v>0</v>
      </c>
      <c r="AA41" s="18" t="n">
        <v>9.69749025</v>
      </c>
      <c r="AB41" s="20" t="n">
        <v>1.46624171</v>
      </c>
    </row>
    <row r="42" spans="1:2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c r="U44" s="18" t="s">
        <v>349</v>
      </c>
      <c r="V44" s="20" t="s">
        <v>349</v>
      </c>
      <c r="W44" s="18" t="s">
        <v>349</v>
      </c>
      <c r="X44" s="20" t="s">
        <v>349</v>
      </c>
      <c r="Y44" s="18" t="s">
        <v>349</v>
      </c>
      <c r="Z44" s="20" t="s">
        <v>349</v>
      </c>
      <c r="AA44" s="18" t="s">
        <v>349</v>
      </c>
      <c r="AB44" s="20" t="s">
        <v>349</v>
      </c>
    </row>
    <row r="45" spans="1:2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c r="W45" s="18" t="s">
        <v>349</v>
      </c>
      <c r="X45" s="20" t="s">
        <v>349</v>
      </c>
      <c r="Y45" s="18" t="s">
        <v>349</v>
      </c>
      <c r="Z45" s="20" t="s">
        <v>349</v>
      </c>
      <c r="AA45" s="18" t="s">
        <v>349</v>
      </c>
      <c r="AB45" s="20" t="s">
        <v>349</v>
      </c>
    </row>
    <row r="46" spans="1:28">
      <c r="A46" s="15" t="s">
        <v>388</v>
      </c>
      <c r="B46" s="17" t="n">
        <v>12073</v>
      </c>
      <c r="C46" s="18">
        <f>(10742.0/B46*100)</f>
        <v/>
      </c>
      <c r="D46" s="19" t="n">
        <v>1331</v>
      </c>
      <c r="E46" s="18" t="n">
        <v>58.30905024</v>
      </c>
      <c r="F46" s="20" t="n">
        <v>1.64962031</v>
      </c>
      <c r="G46" s="18" t="n">
        <v>0</v>
      </c>
      <c r="H46" s="20" t="n">
        <v>0</v>
      </c>
      <c r="I46" s="18" t="n">
        <v>0</v>
      </c>
      <c r="J46" s="20" t="n">
        <v>0</v>
      </c>
      <c r="K46" s="18" t="n">
        <v>0</v>
      </c>
      <c r="L46" s="20" t="n">
        <v>0</v>
      </c>
      <c r="M46" s="18" t="n">
        <v>0.17530404</v>
      </c>
      <c r="N46" s="20" t="n">
        <v>0.11972773</v>
      </c>
      <c r="O46" s="18" t="n">
        <v>0.81042599</v>
      </c>
      <c r="P46" s="20" t="n">
        <v>0.28351683</v>
      </c>
      <c r="Q46" s="18" t="n">
        <v>3.86321001</v>
      </c>
      <c r="R46" s="20" t="n">
        <v>0.63820906</v>
      </c>
      <c r="S46" s="18" t="s">
        <v>349</v>
      </c>
      <c r="T46" s="20" t="s">
        <v>349</v>
      </c>
      <c r="U46" s="18" t="n">
        <v>1.32891371</v>
      </c>
      <c r="V46" s="20" t="n">
        <v>0.39289901</v>
      </c>
      <c r="W46" s="18" t="n">
        <v>0.21364247</v>
      </c>
      <c r="X46" s="20" t="n">
        <v>0.18403452</v>
      </c>
      <c r="Y46" s="18" t="n">
        <v>0</v>
      </c>
      <c r="Z46" s="20" t="n">
        <v>0</v>
      </c>
      <c r="AA46" s="18" t="n">
        <v>35.29945355</v>
      </c>
      <c r="AB46" s="20" t="n">
        <v>1.61012412</v>
      </c>
    </row>
    <row r="47" spans="1:28">
      <c r="A47" s="15" t="s">
        <v>389</v>
      </c>
      <c r="B47" s="17" t="n">
        <v>2823</v>
      </c>
      <c r="C47" s="18">
        <f>(2483.0/B47*100)</f>
        <v/>
      </c>
      <c r="D47" s="19" t="n">
        <v>340</v>
      </c>
      <c r="E47" s="18" t="n">
        <v>60.40254148</v>
      </c>
      <c r="F47" s="20" t="n">
        <v>2.39281708</v>
      </c>
      <c r="G47" s="18" t="n">
        <v>1.14772158</v>
      </c>
      <c r="H47" s="20" t="n">
        <v>0.56588307</v>
      </c>
      <c r="I47" s="18" t="n">
        <v>1.19584415</v>
      </c>
      <c r="J47" s="20" t="n">
        <v>0.36868383</v>
      </c>
      <c r="K47" s="18" t="n">
        <v>1.97664366</v>
      </c>
      <c r="L47" s="20" t="n">
        <v>0.72819569</v>
      </c>
      <c r="M47" s="18" t="n">
        <v>0</v>
      </c>
      <c r="N47" s="20" t="n">
        <v>0</v>
      </c>
      <c r="O47" s="18" t="n">
        <v>3.89252232</v>
      </c>
      <c r="P47" s="20" t="n">
        <v>1.14843949</v>
      </c>
      <c r="Q47" s="18" t="n">
        <v>4.97266134</v>
      </c>
      <c r="R47" s="20" t="n">
        <v>1.31604768</v>
      </c>
      <c r="S47" s="18" t="s">
        <v>349</v>
      </c>
      <c r="T47" s="20" t="s">
        <v>349</v>
      </c>
      <c r="U47" s="18" t="n">
        <v>0.27534049</v>
      </c>
      <c r="V47" s="20" t="n">
        <v>0.27429543</v>
      </c>
      <c r="W47" s="18" t="n">
        <v>0</v>
      </c>
      <c r="X47" s="20" t="n">
        <v>0</v>
      </c>
      <c r="Y47" s="18" t="n">
        <v>0</v>
      </c>
      <c r="Z47" s="20" t="n">
        <v>0</v>
      </c>
      <c r="AA47" s="18" t="n">
        <v>26.13672497</v>
      </c>
      <c r="AB47" s="20" t="n">
        <v>2.21729258</v>
      </c>
    </row>
    <row r="48" spans="1:28">
      <c r="A48" s="15" t="s">
        <v>390</v>
      </c>
      <c r="B48" s="17" t="n">
        <v>4682</v>
      </c>
      <c r="C48" s="18">
        <f>(4099.0/B48*100)</f>
        <v/>
      </c>
      <c r="D48" s="19" t="n">
        <v>583</v>
      </c>
      <c r="E48" s="18" t="n">
        <v>51.57895537</v>
      </c>
      <c r="F48" s="20" t="n">
        <v>3.10390243</v>
      </c>
      <c r="G48" s="18" t="n">
        <v>1.52596484</v>
      </c>
      <c r="H48" s="20" t="n">
        <v>0.62473063</v>
      </c>
      <c r="I48" s="18" t="n">
        <v>8.468121010000001</v>
      </c>
      <c r="J48" s="20" t="n">
        <v>1.69921317</v>
      </c>
      <c r="K48" s="18" t="n">
        <v>7.50006303</v>
      </c>
      <c r="L48" s="20" t="n">
        <v>1.27283809</v>
      </c>
      <c r="M48" s="18" t="n">
        <v>0.0042845</v>
      </c>
      <c r="N48" s="20" t="n">
        <v>0.00310265</v>
      </c>
      <c r="O48" s="18" t="n">
        <v>20.95479627</v>
      </c>
      <c r="P48" s="20" t="n">
        <v>2.43580761</v>
      </c>
      <c r="Q48" s="18" t="n">
        <v>1.81670976</v>
      </c>
      <c r="R48" s="20" t="n">
        <v>0.65398782</v>
      </c>
      <c r="S48" s="18" t="s">
        <v>349</v>
      </c>
      <c r="T48" s="20" t="s">
        <v>349</v>
      </c>
      <c r="U48" s="18" t="n">
        <v>0</v>
      </c>
      <c r="V48" s="20" t="n">
        <v>0</v>
      </c>
      <c r="W48" s="18" t="n">
        <v>0</v>
      </c>
      <c r="X48" s="20" t="n">
        <v>0</v>
      </c>
      <c r="Y48" s="18" t="n">
        <v>0</v>
      </c>
      <c r="Z48" s="20" t="n">
        <v>0</v>
      </c>
      <c r="AA48" s="18" t="n">
        <v>8.15110522</v>
      </c>
      <c r="AB48" s="20" t="n">
        <v>1.53548293</v>
      </c>
    </row>
    <row r="49" spans="1:2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c r="W49" s="18" t="s">
        <v>349</v>
      </c>
      <c r="X49" s="20" t="s">
        <v>349</v>
      </c>
      <c r="Y49" s="18" t="s">
        <v>349</v>
      </c>
      <c r="Z49" s="20" t="s">
        <v>349</v>
      </c>
      <c r="AA49" s="18" t="s">
        <v>349</v>
      </c>
      <c r="AB49" s="20" t="s">
        <v>349</v>
      </c>
    </row>
    <row r="50" spans="1:28">
      <c r="A50" s="15" t="s">
        <v>392</v>
      </c>
      <c r="B50" s="17" t="n">
        <v>6158</v>
      </c>
      <c r="C50" s="18">
        <f>(5402.0/B50*100)</f>
        <v/>
      </c>
      <c r="D50" s="19" t="n">
        <v>756</v>
      </c>
      <c r="E50" s="18" t="n">
        <v>68.4963528</v>
      </c>
      <c r="F50" s="20" t="n">
        <v>2.10924675</v>
      </c>
      <c r="G50" s="18" t="n">
        <v>0.007852680000000001</v>
      </c>
      <c r="H50" s="20" t="n">
        <v>0.00809</v>
      </c>
      <c r="I50" s="18" t="n">
        <v>3.34152264</v>
      </c>
      <c r="J50" s="20" t="n">
        <v>0.74414983</v>
      </c>
      <c r="K50" s="18" t="n">
        <v>0.90322098</v>
      </c>
      <c r="L50" s="20" t="n">
        <v>0.40230024</v>
      </c>
      <c r="M50" s="18" t="n">
        <v>0</v>
      </c>
      <c r="N50" s="20" t="n">
        <v>0</v>
      </c>
      <c r="O50" s="18" t="n">
        <v>1.24487697</v>
      </c>
      <c r="P50" s="20" t="n">
        <v>0.2333863</v>
      </c>
      <c r="Q50" s="18" t="n">
        <v>2.66068826</v>
      </c>
      <c r="R50" s="20" t="n">
        <v>0.6895164</v>
      </c>
      <c r="S50" s="18" t="s">
        <v>349</v>
      </c>
      <c r="T50" s="20" t="s">
        <v>349</v>
      </c>
      <c r="U50" s="18" t="n">
        <v>0.49870833</v>
      </c>
      <c r="V50" s="20" t="n">
        <v>0.24375067</v>
      </c>
      <c r="W50" s="18" t="n">
        <v>2.40702111</v>
      </c>
      <c r="X50" s="20" t="n">
        <v>0.6022162599999999</v>
      </c>
      <c r="Y50" s="18" t="n">
        <v>0</v>
      </c>
      <c r="Z50" s="20" t="n">
        <v>0</v>
      </c>
      <c r="AA50" s="18" t="n">
        <v>20.43975624</v>
      </c>
      <c r="AB50" s="20" t="n">
        <v>1.87516784</v>
      </c>
    </row>
    <row r="51" spans="1:28">
      <c r="A51" s="15" t="s">
        <v>393</v>
      </c>
      <c r="B51" s="17" t="n">
        <v>3494</v>
      </c>
      <c r="C51" s="18">
        <f>(3099.0/B51*100)</f>
        <v/>
      </c>
      <c r="D51" s="19" t="n">
        <v>395</v>
      </c>
      <c r="E51" s="18" t="n">
        <v>59.62370607</v>
      </c>
      <c r="F51" s="20" t="n">
        <v>2.57449313</v>
      </c>
      <c r="G51" s="18" t="n">
        <v>0</v>
      </c>
      <c r="H51" s="20" t="n">
        <v>0</v>
      </c>
      <c r="I51" s="18" t="n">
        <v>0</v>
      </c>
      <c r="J51" s="20" t="n">
        <v>0</v>
      </c>
      <c r="K51" s="18" t="n">
        <v>0</v>
      </c>
      <c r="L51" s="20" t="n">
        <v>0</v>
      </c>
      <c r="M51" s="18" t="n">
        <v>0</v>
      </c>
      <c r="N51" s="20" t="n">
        <v>0</v>
      </c>
      <c r="O51" s="18" t="n">
        <v>0.5752276</v>
      </c>
      <c r="P51" s="20" t="n">
        <v>0.06710336</v>
      </c>
      <c r="Q51" s="18" t="n">
        <v>4.22458696</v>
      </c>
      <c r="R51" s="20" t="n">
        <v>1.06748559</v>
      </c>
      <c r="S51" s="18" t="s">
        <v>349</v>
      </c>
      <c r="T51" s="20" t="s">
        <v>349</v>
      </c>
      <c r="U51" s="18" t="n">
        <v>0</v>
      </c>
      <c r="V51" s="20" t="n">
        <v>0</v>
      </c>
      <c r="W51" s="18" t="n">
        <v>0</v>
      </c>
      <c r="X51" s="20" t="n">
        <v>0</v>
      </c>
      <c r="Y51" s="18" t="n">
        <v>0</v>
      </c>
      <c r="Z51" s="20" t="n">
        <v>0</v>
      </c>
      <c r="AA51" s="18" t="n">
        <v>35.57647938</v>
      </c>
      <c r="AB51" s="20" t="n">
        <v>2.63372174</v>
      </c>
    </row>
    <row r="52" spans="1:28">
      <c r="A52" s="15" t="s">
        <v>394</v>
      </c>
      <c r="B52" s="17" t="n">
        <v>3013</v>
      </c>
      <c r="C52" s="18">
        <f>(2645.0/B52*100)</f>
        <v/>
      </c>
      <c r="D52" s="19" t="n">
        <v>368</v>
      </c>
      <c r="E52" s="18" t="n">
        <v>31.97618252</v>
      </c>
      <c r="F52" s="20" t="n">
        <v>2.57100437</v>
      </c>
      <c r="G52" s="18" t="n">
        <v>0.94361888</v>
      </c>
      <c r="H52" s="20" t="n">
        <v>0.49427567</v>
      </c>
      <c r="I52" s="18" t="n">
        <v>4.54219246</v>
      </c>
      <c r="J52" s="20" t="n">
        <v>0.93909221</v>
      </c>
      <c r="K52" s="18" t="n">
        <v>2.12687242</v>
      </c>
      <c r="L52" s="20" t="n">
        <v>0.7219512</v>
      </c>
      <c r="M52" s="18" t="n">
        <v>0.80129613</v>
      </c>
      <c r="N52" s="20" t="n">
        <v>0.42785713</v>
      </c>
      <c r="O52" s="18" t="n">
        <v>4.21340755</v>
      </c>
      <c r="P52" s="20" t="n">
        <v>1.16472524</v>
      </c>
      <c r="Q52" s="18" t="n">
        <v>2.37947158</v>
      </c>
      <c r="R52" s="20" t="n">
        <v>0.73363933</v>
      </c>
      <c r="S52" s="18" t="s">
        <v>349</v>
      </c>
      <c r="T52" s="20" t="s">
        <v>349</v>
      </c>
      <c r="U52" s="18" t="n">
        <v>0</v>
      </c>
      <c r="V52" s="20" t="n">
        <v>0</v>
      </c>
      <c r="W52" s="18" t="n">
        <v>0.25639135</v>
      </c>
      <c r="X52" s="20" t="n">
        <v>0.36331517</v>
      </c>
      <c r="Y52" s="18" t="n">
        <v>0</v>
      </c>
      <c r="Z52" s="20" t="n">
        <v>0</v>
      </c>
      <c r="AA52" s="18" t="n">
        <v>52.7605671</v>
      </c>
      <c r="AB52" s="20" t="n">
        <v>2.43300544</v>
      </c>
    </row>
    <row r="53" spans="1:28">
      <c r="A53" s="15" t="s">
        <v>395</v>
      </c>
      <c r="B53" s="17" t="n">
        <v>2760</v>
      </c>
      <c r="C53" s="18">
        <f>(2416.0/B53*100)</f>
        <v/>
      </c>
      <c r="D53" s="19" t="n">
        <v>344</v>
      </c>
      <c r="E53" s="18" t="n">
        <v>45.64870244</v>
      </c>
      <c r="F53" s="20" t="n">
        <v>2.50374584</v>
      </c>
      <c r="G53" s="18" t="n">
        <v>1.56206193</v>
      </c>
      <c r="H53" s="20" t="n">
        <v>0.71172868</v>
      </c>
      <c r="I53" s="18" t="n">
        <v>5.59695832</v>
      </c>
      <c r="J53" s="20" t="n">
        <v>1.53972871</v>
      </c>
      <c r="K53" s="18" t="n">
        <v>2.10612894</v>
      </c>
      <c r="L53" s="20" t="n">
        <v>0.79874946</v>
      </c>
      <c r="M53" s="18" t="n">
        <v>0.54850041</v>
      </c>
      <c r="N53" s="20" t="n">
        <v>0.38892298</v>
      </c>
      <c r="O53" s="18" t="n">
        <v>1.77401886</v>
      </c>
      <c r="P53" s="20" t="n">
        <v>0.6740293000000001</v>
      </c>
      <c r="Q53" s="18" t="n">
        <v>3.1738158</v>
      </c>
      <c r="R53" s="20" t="n">
        <v>0.94967312</v>
      </c>
      <c r="S53" s="18" t="s">
        <v>349</v>
      </c>
      <c r="T53" s="20" t="s">
        <v>349</v>
      </c>
      <c r="U53" s="18" t="n">
        <v>0.5800437899999999</v>
      </c>
      <c r="V53" s="20" t="n">
        <v>0.43796369</v>
      </c>
      <c r="W53" s="18" t="n">
        <v>0</v>
      </c>
      <c r="X53" s="20" t="n">
        <v>0</v>
      </c>
      <c r="Y53" s="18" t="n">
        <v>0</v>
      </c>
      <c r="Z53" s="20" t="n">
        <v>0</v>
      </c>
      <c r="AA53" s="18" t="n">
        <v>39.00976951</v>
      </c>
      <c r="AB53" s="20" t="n">
        <v>2.43847261</v>
      </c>
    </row>
    <row r="54" spans="1:28">
      <c r="A54" s="15" t="s">
        <v>396</v>
      </c>
      <c r="B54" s="17" t="n">
        <v>2474</v>
      </c>
      <c r="C54" s="18">
        <f>(2085.0/B54*100)</f>
        <v/>
      </c>
      <c r="D54" s="19" t="n">
        <v>389</v>
      </c>
      <c r="E54" s="18" t="n">
        <v>45.91583772</v>
      </c>
      <c r="F54" s="20" t="n">
        <v>2.68612419</v>
      </c>
      <c r="G54" s="18" t="n">
        <v>0.2555142</v>
      </c>
      <c r="H54" s="20" t="n">
        <v>0.25828017</v>
      </c>
      <c r="I54" s="18" t="n">
        <v>0</v>
      </c>
      <c r="J54" s="20" t="n">
        <v>0</v>
      </c>
      <c r="K54" s="18" t="n">
        <v>0</v>
      </c>
      <c r="L54" s="20" t="n">
        <v>0</v>
      </c>
      <c r="M54" s="18" t="n">
        <v>0</v>
      </c>
      <c r="N54" s="20" t="n">
        <v>0</v>
      </c>
      <c r="O54" s="18" t="n">
        <v>0</v>
      </c>
      <c r="P54" s="20" t="n">
        <v>0</v>
      </c>
      <c r="Q54" s="18" t="n">
        <v>2.51594956</v>
      </c>
      <c r="R54" s="20" t="n">
        <v>1.03337588</v>
      </c>
      <c r="S54" s="18" t="s">
        <v>349</v>
      </c>
      <c r="T54" s="20" t="s">
        <v>349</v>
      </c>
      <c r="U54" s="18" t="n">
        <v>6.54583355</v>
      </c>
      <c r="V54" s="20" t="n">
        <v>1.53103926</v>
      </c>
      <c r="W54" s="18" t="n">
        <v>0.81160306</v>
      </c>
      <c r="X54" s="20" t="n">
        <v>0.65826175</v>
      </c>
      <c r="Y54" s="18" t="n">
        <v>0</v>
      </c>
      <c r="Z54" s="20" t="n">
        <v>0</v>
      </c>
      <c r="AA54" s="18" t="n">
        <v>43.9552619</v>
      </c>
      <c r="AB54" s="20" t="n">
        <v>2.68552202</v>
      </c>
    </row>
    <row r="55" spans="1:2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c r="U55" s="18" t="s">
        <v>349</v>
      </c>
      <c r="V55" s="20" t="s">
        <v>349</v>
      </c>
      <c r="W55" s="18" t="s">
        <v>349</v>
      </c>
      <c r="X55" s="20" t="s">
        <v>349</v>
      </c>
      <c r="Y55" s="18" t="s">
        <v>349</v>
      </c>
      <c r="Z55" s="20" t="s">
        <v>349</v>
      </c>
      <c r="AA55" s="18" t="s">
        <v>349</v>
      </c>
      <c r="AB55" s="20" t="s">
        <v>349</v>
      </c>
    </row>
    <row r="56" spans="1:28">
      <c r="A56" s="15" t="s">
        <v>398</v>
      </c>
      <c r="B56" s="17" t="n">
        <v>2675</v>
      </c>
      <c r="C56" s="18">
        <f>(2322.0/B56*100)</f>
        <v/>
      </c>
      <c r="D56" s="19" t="n">
        <v>353</v>
      </c>
      <c r="E56" s="18" t="n">
        <v>45.53793895</v>
      </c>
      <c r="F56" s="20" t="n">
        <v>2.80939164</v>
      </c>
      <c r="G56" s="18" t="n">
        <v>8.546350459999999</v>
      </c>
      <c r="H56" s="20" t="n">
        <v>1.37879814</v>
      </c>
      <c r="I56" s="18" t="n">
        <v>10.78436961</v>
      </c>
      <c r="J56" s="20" t="n">
        <v>1.82969642</v>
      </c>
      <c r="K56" s="18" t="n">
        <v>1.31310886</v>
      </c>
      <c r="L56" s="20" t="n">
        <v>0.66267963</v>
      </c>
      <c r="M56" s="18" t="n">
        <v>6.87685416</v>
      </c>
      <c r="N56" s="20" t="n">
        <v>1.21283152</v>
      </c>
      <c r="O56" s="18" t="n">
        <v>10.11318206</v>
      </c>
      <c r="P56" s="20" t="n">
        <v>1.68168322</v>
      </c>
      <c r="Q56" s="18" t="n">
        <v>1.45914281</v>
      </c>
      <c r="R56" s="20" t="n">
        <v>0.62155452</v>
      </c>
      <c r="S56" s="18" t="s">
        <v>349</v>
      </c>
      <c r="T56" s="20" t="s">
        <v>349</v>
      </c>
      <c r="U56" s="18" t="n">
        <v>0</v>
      </c>
      <c r="V56" s="20" t="n">
        <v>0</v>
      </c>
      <c r="W56" s="18" t="n">
        <v>0</v>
      </c>
      <c r="X56" s="20" t="n">
        <v>0</v>
      </c>
      <c r="Y56" s="18" t="n">
        <v>0</v>
      </c>
      <c r="Z56" s="20" t="n">
        <v>0</v>
      </c>
      <c r="AA56" s="18" t="n">
        <v>15.36905311</v>
      </c>
      <c r="AB56" s="20" t="n">
        <v>1.95008792</v>
      </c>
    </row>
    <row r="57" spans="1:2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c r="U57" s="18" t="s">
        <v>349</v>
      </c>
      <c r="V57" s="20" t="s">
        <v>349</v>
      </c>
      <c r="W57" s="18" t="s">
        <v>349</v>
      </c>
      <c r="X57" s="20" t="s">
        <v>349</v>
      </c>
      <c r="Y57" s="18" t="s">
        <v>349</v>
      </c>
      <c r="Z57" s="20" t="s">
        <v>349</v>
      </c>
      <c r="AA57" s="18" t="s">
        <v>349</v>
      </c>
      <c r="AB57" s="20" t="s">
        <v>349</v>
      </c>
    </row>
    <row r="58" spans="1:2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c r="W58" s="18" t="s">
        <v>349</v>
      </c>
      <c r="X58" s="20" t="s">
        <v>349</v>
      </c>
      <c r="Y58" s="18" t="s">
        <v>349</v>
      </c>
      <c r="Z58" s="20" t="s">
        <v>349</v>
      </c>
      <c r="AA58" s="18" t="s">
        <v>349</v>
      </c>
      <c r="AB58" s="20" t="s">
        <v>349</v>
      </c>
    </row>
    <row r="59" spans="1:2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c r="W59" s="18" t="s">
        <v>349</v>
      </c>
      <c r="X59" s="20" t="s">
        <v>349</v>
      </c>
      <c r="Y59" s="18" t="s">
        <v>349</v>
      </c>
      <c r="Z59" s="20" t="s">
        <v>349</v>
      </c>
      <c r="AA59" s="18" t="s">
        <v>349</v>
      </c>
      <c r="AB59" s="20" t="s">
        <v>349</v>
      </c>
    </row>
    <row r="60" spans="1:2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c r="W60" s="18" t="s">
        <v>349</v>
      </c>
      <c r="X60" s="20" t="s">
        <v>349</v>
      </c>
      <c r="Y60" s="18" t="s">
        <v>349</v>
      </c>
      <c r="Z60" s="20" t="s">
        <v>349</v>
      </c>
      <c r="AA60" s="18" t="s">
        <v>349</v>
      </c>
      <c r="AB60" s="20" t="s">
        <v>349</v>
      </c>
    </row>
    <row r="61" spans="1:28">
      <c r="A61" s="15" t="s">
        <v>403</v>
      </c>
      <c r="B61" s="17" t="n">
        <v>3201</v>
      </c>
      <c r="C61" s="18">
        <f>(2818.0/B61*100)</f>
        <v/>
      </c>
      <c r="D61" s="19" t="n">
        <v>383</v>
      </c>
      <c r="E61" s="18" t="n">
        <v>49.4159707</v>
      </c>
      <c r="F61" s="20" t="n">
        <v>2.75281557</v>
      </c>
      <c r="G61" s="18" t="n">
        <v>0.30363663</v>
      </c>
      <c r="H61" s="20" t="n">
        <v>0.07258037000000001</v>
      </c>
      <c r="I61" s="18" t="n">
        <v>10.19471547</v>
      </c>
      <c r="J61" s="20" t="n">
        <v>1.81926466</v>
      </c>
      <c r="K61" s="18" t="n">
        <v>1.17262374</v>
      </c>
      <c r="L61" s="20" t="n">
        <v>0.61919609</v>
      </c>
      <c r="M61" s="18" t="n">
        <v>0</v>
      </c>
      <c r="N61" s="20" t="n">
        <v>0</v>
      </c>
      <c r="O61" s="18" t="n">
        <v>5.06355554</v>
      </c>
      <c r="P61" s="20" t="n">
        <v>1.19451225</v>
      </c>
      <c r="Q61" s="18" t="n">
        <v>4.54648231</v>
      </c>
      <c r="R61" s="20" t="n">
        <v>1.22528268</v>
      </c>
      <c r="S61" s="18" t="s">
        <v>349</v>
      </c>
      <c r="T61" s="20" t="s">
        <v>349</v>
      </c>
      <c r="U61" s="18" t="n">
        <v>0.58521453</v>
      </c>
      <c r="V61" s="20" t="n">
        <v>0.41601691</v>
      </c>
      <c r="W61" s="18" t="n">
        <v>0</v>
      </c>
      <c r="X61" s="20" t="n">
        <v>0</v>
      </c>
      <c r="Y61" s="18" t="n">
        <v>0</v>
      </c>
      <c r="Z61" s="20" t="n">
        <v>0</v>
      </c>
      <c r="AA61" s="18" t="n">
        <v>28.71780107</v>
      </c>
      <c r="AB61" s="20" t="n">
        <v>2.55866097</v>
      </c>
    </row>
    <row r="62" spans="1:28">
      <c r="A62" s="15" t="s">
        <v>404</v>
      </c>
      <c r="B62" s="17" t="n">
        <v>2230</v>
      </c>
      <c r="C62" s="18">
        <f>(1945.0/B62*100)</f>
        <v/>
      </c>
      <c r="D62" s="19" t="n">
        <v>285</v>
      </c>
      <c r="E62" s="18" t="n">
        <v>60.72086287</v>
      </c>
      <c r="F62" s="20" t="n">
        <v>2.81506422</v>
      </c>
      <c r="G62" s="18" t="n">
        <v>1.74179863</v>
      </c>
      <c r="H62" s="20" t="n">
        <v>0.77633224</v>
      </c>
      <c r="I62" s="18" t="n">
        <v>5.22539588</v>
      </c>
      <c r="J62" s="20" t="n">
        <v>1.20099783</v>
      </c>
      <c r="K62" s="18" t="n">
        <v>1.74179863</v>
      </c>
      <c r="L62" s="20" t="n">
        <v>0.76785004</v>
      </c>
      <c r="M62" s="18" t="n">
        <v>4.18402325</v>
      </c>
      <c r="N62" s="20" t="n">
        <v>1.26371399</v>
      </c>
      <c r="O62" s="18" t="n">
        <v>12.62741997</v>
      </c>
      <c r="P62" s="20" t="n">
        <v>2.04978974</v>
      </c>
      <c r="Q62" s="18" t="n">
        <v>3.52274244</v>
      </c>
      <c r="R62" s="20" t="n">
        <v>1.2243905</v>
      </c>
      <c r="S62" s="18" t="s">
        <v>349</v>
      </c>
      <c r="T62" s="20" t="s">
        <v>349</v>
      </c>
      <c r="U62" s="18" t="n">
        <v>0</v>
      </c>
      <c r="V62" s="20" t="n">
        <v>0</v>
      </c>
      <c r="W62" s="18" t="n">
        <v>0</v>
      </c>
      <c r="X62" s="20" t="n">
        <v>0</v>
      </c>
      <c r="Y62" s="18" t="n">
        <v>0</v>
      </c>
      <c r="Z62" s="20" t="n">
        <v>0</v>
      </c>
      <c r="AA62" s="18" t="n">
        <v>10.23595832</v>
      </c>
      <c r="AB62" s="20" t="n">
        <v>1.80550935</v>
      </c>
    </row>
    <row r="63" spans="1:2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c r="W63" s="18" t="s">
        <v>349</v>
      </c>
      <c r="X63" s="20" t="s">
        <v>349</v>
      </c>
      <c r="Y63" s="18" t="s">
        <v>349</v>
      </c>
      <c r="Z63" s="20" t="s">
        <v>349</v>
      </c>
      <c r="AA63" s="18" t="s">
        <v>349</v>
      </c>
      <c r="AB63" s="20" t="s">
        <v>349</v>
      </c>
    </row>
    <row r="64" spans="1:2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c r="U64" s="18" t="s">
        <v>349</v>
      </c>
      <c r="V64" s="20" t="s">
        <v>349</v>
      </c>
      <c r="W64" s="18" t="s">
        <v>349</v>
      </c>
      <c r="X64" s="20" t="s">
        <v>349</v>
      </c>
      <c r="Y64" s="18" t="s">
        <v>349</v>
      </c>
      <c r="Z64" s="20" t="s">
        <v>349</v>
      </c>
      <c r="AA64" s="18" t="s">
        <v>349</v>
      </c>
      <c r="AB64" s="20" t="s">
        <v>349</v>
      </c>
    </row>
    <row r="65" spans="1:2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c r="W65" s="18" t="s">
        <v>349</v>
      </c>
      <c r="X65" s="20" t="s">
        <v>349</v>
      </c>
      <c r="Y65" s="18" t="s">
        <v>349</v>
      </c>
      <c r="Z65" s="20" t="s">
        <v>349</v>
      </c>
      <c r="AA65" s="18" t="s">
        <v>349</v>
      </c>
      <c r="AB65" s="20" t="s">
        <v>349</v>
      </c>
    </row>
    <row r="66" spans="1:28">
      <c r="A66" s="15" t="s">
        <v>408</v>
      </c>
      <c r="B66" s="17" t="n">
        <v>2771</v>
      </c>
      <c r="C66" s="18">
        <f>(2433.0/B66*100)</f>
        <v/>
      </c>
      <c r="D66" s="19" t="n">
        <v>338</v>
      </c>
      <c r="E66" s="18" t="n">
        <v>30.107832</v>
      </c>
      <c r="F66" s="20" t="n">
        <v>2.24922918</v>
      </c>
      <c r="G66" s="18" t="n">
        <v>0.52654442</v>
      </c>
      <c r="H66" s="20" t="n">
        <v>0.37025736</v>
      </c>
      <c r="I66" s="18" t="n">
        <v>4.86469324</v>
      </c>
      <c r="J66" s="20" t="n">
        <v>1.18208695</v>
      </c>
      <c r="K66" s="18" t="n">
        <v>1.41101775</v>
      </c>
      <c r="L66" s="20" t="n">
        <v>0.62410771</v>
      </c>
      <c r="M66" s="18" t="n">
        <v>0</v>
      </c>
      <c r="N66" s="20" t="n">
        <v>0</v>
      </c>
      <c r="O66" s="18" t="n">
        <v>1.641205</v>
      </c>
      <c r="P66" s="20" t="n">
        <v>0.72941848</v>
      </c>
      <c r="Q66" s="18" t="n">
        <v>2.041334</v>
      </c>
      <c r="R66" s="20" t="n">
        <v>0.6466027600000001</v>
      </c>
      <c r="S66" s="18" t="s">
        <v>349</v>
      </c>
      <c r="T66" s="20" t="s">
        <v>349</v>
      </c>
      <c r="U66" s="18" t="n">
        <v>0.91766943</v>
      </c>
      <c r="V66" s="20" t="n">
        <v>0.53085659</v>
      </c>
      <c r="W66" s="18" t="n">
        <v>0.25756885</v>
      </c>
      <c r="X66" s="20" t="n">
        <v>0.25625726</v>
      </c>
      <c r="Y66" s="18" t="n">
        <v>0</v>
      </c>
      <c r="Z66" s="20" t="n">
        <v>0</v>
      </c>
      <c r="AA66" s="18" t="n">
        <v>58.23213531</v>
      </c>
      <c r="AB66" s="20" t="n">
        <v>2.37125779</v>
      </c>
    </row>
    <row r="67" spans="1:28">
      <c r="A67" s="15" t="s">
        <v>409</v>
      </c>
      <c r="B67" s="17" t="n">
        <v>3460</v>
      </c>
      <c r="C67" s="18">
        <f>(3056.0/B67*100)</f>
        <v/>
      </c>
      <c r="D67" s="19" t="n">
        <v>404</v>
      </c>
      <c r="E67" s="18" t="n">
        <v>54.17721871</v>
      </c>
      <c r="F67" s="20" t="n">
        <v>2.80621139</v>
      </c>
      <c r="G67" s="18" t="n">
        <v>0</v>
      </c>
      <c r="H67" s="20" t="n">
        <v>0</v>
      </c>
      <c r="I67" s="18" t="n">
        <v>1.36137288</v>
      </c>
      <c r="J67" s="20" t="n">
        <v>0.55310908</v>
      </c>
      <c r="K67" s="18" t="n">
        <v>0.22234444</v>
      </c>
      <c r="L67" s="20" t="n">
        <v>0.21772758</v>
      </c>
      <c r="M67" s="18" t="n">
        <v>0</v>
      </c>
      <c r="N67" s="20" t="n">
        <v>0</v>
      </c>
      <c r="O67" s="18" t="n">
        <v>0.6602319</v>
      </c>
      <c r="P67" s="20" t="n">
        <v>0.37717167</v>
      </c>
      <c r="Q67" s="18" t="n">
        <v>3.90866371</v>
      </c>
      <c r="R67" s="20" t="n">
        <v>1.04524674</v>
      </c>
      <c r="S67" s="18" t="s">
        <v>349</v>
      </c>
      <c r="T67" s="20" t="s">
        <v>349</v>
      </c>
      <c r="U67" s="18" t="n">
        <v>0</v>
      </c>
      <c r="V67" s="20" t="n">
        <v>0</v>
      </c>
      <c r="W67" s="18" t="n">
        <v>0.9733971300000001</v>
      </c>
      <c r="X67" s="20" t="n">
        <v>0.49035035</v>
      </c>
      <c r="Y67" s="18" t="n">
        <v>0</v>
      </c>
      <c r="Z67" s="20" t="n">
        <v>0</v>
      </c>
      <c r="AA67" s="18" t="n">
        <v>38.69677122</v>
      </c>
      <c r="AB67" s="20" t="n">
        <v>2.9719895</v>
      </c>
    </row>
    <row r="68" spans="1:28">
      <c r="A68" s="15" t="s">
        <v>410</v>
      </c>
      <c r="B68" s="17" t="n">
        <v>6034</v>
      </c>
      <c r="C68" s="18">
        <f>(5020.0/B68*100)</f>
        <v/>
      </c>
      <c r="D68" s="19" t="n">
        <v>1014</v>
      </c>
      <c r="E68" s="18" t="n">
        <v>67.87588246</v>
      </c>
      <c r="F68" s="20" t="n">
        <v>1.45451177</v>
      </c>
      <c r="G68" s="18" t="n">
        <v>0.47615346</v>
      </c>
      <c r="H68" s="20" t="n">
        <v>0.16550646</v>
      </c>
      <c r="I68" s="18" t="n">
        <v>1.73552057</v>
      </c>
      <c r="J68" s="20" t="n">
        <v>0.40580278</v>
      </c>
      <c r="K68" s="18" t="n">
        <v>1.30810965</v>
      </c>
      <c r="L68" s="20" t="n">
        <v>0.35325597</v>
      </c>
      <c r="M68" s="18" t="n">
        <v>0.2834262</v>
      </c>
      <c r="N68" s="20" t="n">
        <v>0.16301172</v>
      </c>
      <c r="O68" s="18" t="n">
        <v>1.65546731</v>
      </c>
      <c r="P68" s="20" t="n">
        <v>0.41696483</v>
      </c>
      <c r="Q68" s="18" t="n">
        <v>2.52328402</v>
      </c>
      <c r="R68" s="20" t="n">
        <v>0.43881067</v>
      </c>
      <c r="S68" s="18" t="s">
        <v>349</v>
      </c>
      <c r="T68" s="20" t="s">
        <v>349</v>
      </c>
      <c r="U68" s="18" t="n">
        <v>1.3691568</v>
      </c>
      <c r="V68" s="20" t="n">
        <v>0.33716033</v>
      </c>
      <c r="W68" s="18" t="n">
        <v>0</v>
      </c>
      <c r="X68" s="20" t="n">
        <v>0</v>
      </c>
      <c r="Y68" s="18" t="n">
        <v>0</v>
      </c>
      <c r="Z68" s="20" t="n">
        <v>0</v>
      </c>
      <c r="AA68" s="18" t="n">
        <v>22.77299953</v>
      </c>
      <c r="AB68" s="20" t="n">
        <v>1.29003249</v>
      </c>
    </row>
    <row r="69" spans="1:2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c r="W69" s="18" t="s">
        <v>349</v>
      </c>
      <c r="X69" s="20" t="s">
        <v>349</v>
      </c>
      <c r="Y69" s="18" t="s">
        <v>349</v>
      </c>
      <c r="Z69" s="20" t="s">
        <v>349</v>
      </c>
      <c r="AA69" s="18" t="s">
        <v>349</v>
      </c>
      <c r="AB69" s="20" t="s">
        <v>349</v>
      </c>
    </row>
    <row r="70" spans="1:28">
      <c r="A70" s="15" t="s">
        <v>412</v>
      </c>
      <c r="B70" s="17" t="n">
        <v>3107</v>
      </c>
      <c r="C70" s="18">
        <f>(2718.0/B70*100)</f>
        <v/>
      </c>
      <c r="D70" s="19" t="n">
        <v>389</v>
      </c>
      <c r="E70" s="18" t="n">
        <v>56.43368367</v>
      </c>
      <c r="F70" s="20" t="n">
        <v>2.89267656</v>
      </c>
      <c r="G70" s="18" t="n">
        <v>0.24234212</v>
      </c>
      <c r="H70" s="20" t="n">
        <v>0.34191922</v>
      </c>
      <c r="I70" s="18" t="n">
        <v>2.59382038</v>
      </c>
      <c r="J70" s="20" t="n">
        <v>0.89802712</v>
      </c>
      <c r="K70" s="18" t="n">
        <v>0.58756804</v>
      </c>
      <c r="L70" s="20" t="n">
        <v>0.36738158</v>
      </c>
      <c r="M70" s="18" t="n">
        <v>0</v>
      </c>
      <c r="N70" s="20" t="n">
        <v>0</v>
      </c>
      <c r="O70" s="18" t="n">
        <v>5.05480657</v>
      </c>
      <c r="P70" s="20" t="n">
        <v>1.28415018</v>
      </c>
      <c r="Q70" s="18" t="n">
        <v>4.08386688</v>
      </c>
      <c r="R70" s="20" t="n">
        <v>1.04065686</v>
      </c>
      <c r="S70" s="18" t="s">
        <v>349</v>
      </c>
      <c r="T70" s="20" t="s">
        <v>349</v>
      </c>
      <c r="U70" s="18" t="n">
        <v>0</v>
      </c>
      <c r="V70" s="20" t="n">
        <v>0</v>
      </c>
      <c r="W70" s="18" t="n">
        <v>0.83199195</v>
      </c>
      <c r="X70" s="20" t="n">
        <v>0.22904492</v>
      </c>
      <c r="Y70" s="18" t="n">
        <v>0</v>
      </c>
      <c r="Z70" s="20" t="n">
        <v>0</v>
      </c>
      <c r="AA70" s="18" t="n">
        <v>30.17192039</v>
      </c>
      <c r="AB70" s="20" t="n">
        <v>2.38142352</v>
      </c>
    </row>
    <row r="71" spans="1:28">
      <c r="A71" s="15" t="s">
        <v>413</v>
      </c>
      <c r="B71" s="17" t="n">
        <v>2973</v>
      </c>
      <c r="C71" s="18">
        <f>(2613.0/B71*100)</f>
        <v/>
      </c>
      <c r="D71" s="19" t="n">
        <v>360</v>
      </c>
      <c r="E71" s="18" t="n">
        <v>38.44529533</v>
      </c>
      <c r="F71" s="20" t="n">
        <v>2.87984478</v>
      </c>
      <c r="G71" s="18" t="n">
        <v>7.40859908</v>
      </c>
      <c r="H71" s="20" t="n">
        <v>1.39382933</v>
      </c>
      <c r="I71" s="18" t="n">
        <v>11.26540423</v>
      </c>
      <c r="J71" s="20" t="n">
        <v>1.72788645</v>
      </c>
      <c r="K71" s="18" t="n">
        <v>2.8480331</v>
      </c>
      <c r="L71" s="20" t="n">
        <v>0.83498458</v>
      </c>
      <c r="M71" s="18" t="n">
        <v>0</v>
      </c>
      <c r="N71" s="20" t="n">
        <v>0</v>
      </c>
      <c r="O71" s="18" t="n">
        <v>30.19263223</v>
      </c>
      <c r="P71" s="20" t="n">
        <v>2.70332893</v>
      </c>
      <c r="Q71" s="18" t="n">
        <v>0.99472451</v>
      </c>
      <c r="R71" s="20" t="n">
        <v>0.5922492499999999</v>
      </c>
      <c r="S71" s="18" t="s">
        <v>349</v>
      </c>
      <c r="T71" s="20" t="s">
        <v>349</v>
      </c>
      <c r="U71" s="18" t="n">
        <v>0.32368251</v>
      </c>
      <c r="V71" s="20" t="n">
        <v>0.325956</v>
      </c>
      <c r="W71" s="18" t="n">
        <v>0</v>
      </c>
      <c r="X71" s="20" t="n">
        <v>0</v>
      </c>
      <c r="Y71" s="18" t="n">
        <v>0</v>
      </c>
      <c r="Z71" s="20" t="n">
        <v>0</v>
      </c>
      <c r="AA71" s="18" t="n">
        <v>8.52162901</v>
      </c>
      <c r="AB71" s="20" t="n">
        <v>1.5315537</v>
      </c>
    </row>
    <row r="72" spans="1:28">
      <c r="A72" s="15" t="s">
        <v>414</v>
      </c>
      <c r="B72" s="17" t="n">
        <v>3819</v>
      </c>
      <c r="C72" s="18">
        <f>(3345.0/B72*100)</f>
        <v/>
      </c>
      <c r="D72" s="19" t="n">
        <v>474</v>
      </c>
      <c r="E72" s="18" t="n">
        <v>70.10839476</v>
      </c>
      <c r="F72" s="20" t="n">
        <v>2.21974677</v>
      </c>
      <c r="G72" s="18" t="n">
        <v>1.55802233</v>
      </c>
      <c r="H72" s="20" t="n">
        <v>0.58138386</v>
      </c>
      <c r="I72" s="18" t="n">
        <v>2.5999329</v>
      </c>
      <c r="J72" s="20" t="n">
        <v>0.75762871</v>
      </c>
      <c r="K72" s="18" t="n">
        <v>0.91357601</v>
      </c>
      <c r="L72" s="20" t="n">
        <v>0.47426264</v>
      </c>
      <c r="M72" s="18" t="n">
        <v>0.31610844</v>
      </c>
      <c r="N72" s="20" t="n">
        <v>0.0418944</v>
      </c>
      <c r="O72" s="18" t="n">
        <v>11.20914988</v>
      </c>
      <c r="P72" s="20" t="n">
        <v>1.76243883</v>
      </c>
      <c r="Q72" s="18" t="n">
        <v>2.24594073</v>
      </c>
      <c r="R72" s="20" t="n">
        <v>0.75533379</v>
      </c>
      <c r="S72" s="18" t="s">
        <v>349</v>
      </c>
      <c r="T72" s="20" t="s">
        <v>349</v>
      </c>
      <c r="U72" s="18" t="n">
        <v>0</v>
      </c>
      <c r="V72" s="20" t="n">
        <v>0</v>
      </c>
      <c r="W72" s="18" t="n">
        <v>0</v>
      </c>
      <c r="X72" s="20" t="n">
        <v>0</v>
      </c>
      <c r="Y72" s="18" t="n">
        <v>0</v>
      </c>
      <c r="Z72" s="20" t="n">
        <v>0</v>
      </c>
      <c r="AA72" s="18" t="n">
        <v>11.04887495</v>
      </c>
      <c r="AB72" s="20" t="n">
        <v>1.58026613</v>
      </c>
    </row>
    <row r="73" spans="1:28">
      <c r="A73" s="15" t="s">
        <v>415</v>
      </c>
      <c r="B73" s="17" t="n">
        <v>4652</v>
      </c>
      <c r="C73" s="18">
        <f>(4107.0/B73*100)</f>
        <v/>
      </c>
      <c r="D73" s="19" t="n">
        <v>545</v>
      </c>
      <c r="E73" s="18" t="n">
        <v>81.73166620000001</v>
      </c>
      <c r="F73" s="20" t="n">
        <v>2.09534726</v>
      </c>
      <c r="G73" s="18" t="n">
        <v>0.28843104</v>
      </c>
      <c r="H73" s="20" t="n">
        <v>0.25739101</v>
      </c>
      <c r="I73" s="18" t="n">
        <v>3.91355759</v>
      </c>
      <c r="J73" s="20" t="n">
        <v>1.18334725</v>
      </c>
      <c r="K73" s="18" t="n">
        <v>0.72803987</v>
      </c>
      <c r="L73" s="20" t="n">
        <v>0.37127556</v>
      </c>
      <c r="M73" s="18" t="n">
        <v>0.25966004</v>
      </c>
      <c r="N73" s="20" t="n">
        <v>0.2589893</v>
      </c>
      <c r="O73" s="18" t="n">
        <v>1.20101787</v>
      </c>
      <c r="P73" s="20" t="n">
        <v>0.60622579</v>
      </c>
      <c r="Q73" s="18" t="n">
        <v>1.84954419</v>
      </c>
      <c r="R73" s="20" t="n">
        <v>0.65492203</v>
      </c>
      <c r="S73" s="18" t="s">
        <v>349</v>
      </c>
      <c r="T73" s="20" t="s">
        <v>349</v>
      </c>
      <c r="U73" s="18" t="n">
        <v>0</v>
      </c>
      <c r="V73" s="20" t="n">
        <v>0</v>
      </c>
      <c r="W73" s="18" t="n">
        <v>0</v>
      </c>
      <c r="X73" s="20" t="n">
        <v>0</v>
      </c>
      <c r="Y73" s="18" t="n">
        <v>0</v>
      </c>
      <c r="Z73" s="20" t="n">
        <v>0</v>
      </c>
      <c r="AA73" s="18" t="n">
        <v>10.0280832</v>
      </c>
      <c r="AB73" s="20" t="n">
        <v>1.56270373</v>
      </c>
    </row>
    <row r="74" spans="1:2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c r="W74" s="18" t="s">
        <v>349</v>
      </c>
      <c r="X74" s="20" t="s">
        <v>349</v>
      </c>
      <c r="Y74" s="18" t="s">
        <v>349</v>
      </c>
      <c r="Z74" s="20" t="s">
        <v>349</v>
      </c>
      <c r="AA74" s="18" t="s">
        <v>349</v>
      </c>
      <c r="AB74" s="20" t="s">
        <v>349</v>
      </c>
    </row>
    <row r="75" spans="1:28">
      <c r="A75" s="15" t="s">
        <v>417</v>
      </c>
      <c r="B75" s="17" t="n">
        <v>2969</v>
      </c>
      <c r="C75" s="18">
        <f>(2627.0/B75*100)</f>
        <v/>
      </c>
      <c r="D75" s="19" t="n">
        <v>342</v>
      </c>
      <c r="E75" s="18" t="n">
        <v>53.92262072</v>
      </c>
      <c r="F75" s="20" t="n">
        <v>2.68880645</v>
      </c>
      <c r="G75" s="18" t="n">
        <v>0.36340527</v>
      </c>
      <c r="H75" s="20" t="n">
        <v>0.25281173</v>
      </c>
      <c r="I75" s="18" t="n">
        <v>0</v>
      </c>
      <c r="J75" s="20" t="n">
        <v>0</v>
      </c>
      <c r="K75" s="18" t="n">
        <v>0</v>
      </c>
      <c r="L75" s="20" t="n">
        <v>0</v>
      </c>
      <c r="M75" s="18" t="n">
        <v>0</v>
      </c>
      <c r="N75" s="20" t="n">
        <v>0</v>
      </c>
      <c r="O75" s="18" t="n">
        <v>0</v>
      </c>
      <c r="P75" s="20" t="n">
        <v>0</v>
      </c>
      <c r="Q75" s="18" t="n">
        <v>2.75641731</v>
      </c>
      <c r="R75" s="20" t="n">
        <v>0.82915209</v>
      </c>
      <c r="S75" s="18" t="s">
        <v>349</v>
      </c>
      <c r="T75" s="20" t="s">
        <v>349</v>
      </c>
      <c r="U75" s="18" t="n">
        <v>1.8815919</v>
      </c>
      <c r="V75" s="20" t="n">
        <v>0.72438992</v>
      </c>
      <c r="W75" s="18" t="n">
        <v>0.56961613</v>
      </c>
      <c r="X75" s="20" t="n">
        <v>0.34957288</v>
      </c>
      <c r="Y75" s="18" t="n">
        <v>0</v>
      </c>
      <c r="Z75" s="20" t="n">
        <v>0</v>
      </c>
      <c r="AA75" s="18" t="n">
        <v>40.50634866</v>
      </c>
      <c r="AB75" s="20" t="n">
        <v>2.62480229</v>
      </c>
    </row>
    <row r="76" spans="1:28">
      <c r="A76" s="15" t="s">
        <v>418</v>
      </c>
      <c r="B76" s="17" t="n">
        <v>7115</v>
      </c>
      <c r="C76" s="18">
        <f>(6244.0/B76*100)</f>
        <v/>
      </c>
      <c r="D76" s="19" t="n">
        <v>871</v>
      </c>
      <c r="E76" s="18" t="n">
        <v>75.4177009</v>
      </c>
      <c r="F76" s="20" t="n">
        <v>1.79129241</v>
      </c>
      <c r="G76" s="18" t="n">
        <v>0.8309927</v>
      </c>
      <c r="H76" s="20" t="n">
        <v>0.32556285</v>
      </c>
      <c r="I76" s="18" t="n">
        <v>0.63097585</v>
      </c>
      <c r="J76" s="20" t="n">
        <v>0.608352</v>
      </c>
      <c r="K76" s="18" t="n">
        <v>0.03536622</v>
      </c>
      <c r="L76" s="20" t="n">
        <v>0.05020765</v>
      </c>
      <c r="M76" s="18" t="n">
        <v>0.64998378</v>
      </c>
      <c r="N76" s="20" t="n">
        <v>0.25572262</v>
      </c>
      <c r="O76" s="18" t="n">
        <v>4.60098922</v>
      </c>
      <c r="P76" s="20" t="n">
        <v>0.95400123</v>
      </c>
      <c r="Q76" s="18" t="n">
        <v>2.60653551</v>
      </c>
      <c r="R76" s="20" t="n">
        <v>0.56285487</v>
      </c>
      <c r="S76" s="18" t="s">
        <v>349</v>
      </c>
      <c r="T76" s="20" t="s">
        <v>349</v>
      </c>
      <c r="U76" s="18" t="n">
        <v>0.21309069</v>
      </c>
      <c r="V76" s="20" t="n">
        <v>0.15383035</v>
      </c>
      <c r="W76" s="18" t="n">
        <v>0.09891649</v>
      </c>
      <c r="X76" s="20" t="n">
        <v>0.07194712</v>
      </c>
      <c r="Y76" s="18" t="n">
        <v>0</v>
      </c>
      <c r="Z76" s="20" t="n">
        <v>0</v>
      </c>
      <c r="AA76" s="18" t="n">
        <v>14.91544863</v>
      </c>
      <c r="AB76" s="20" t="n">
        <v>1.65158889</v>
      </c>
    </row>
    <row r="77" spans="1:28">
      <c r="A77" s="15" t="s">
        <v>419</v>
      </c>
      <c r="B77" s="17" t="n">
        <v>3154</v>
      </c>
      <c r="C77" s="18">
        <f>(2786.0/B77*100)</f>
        <v/>
      </c>
      <c r="D77" s="19" t="n">
        <v>368</v>
      </c>
      <c r="E77" s="18" t="n">
        <v>32.30653059</v>
      </c>
      <c r="F77" s="20" t="n">
        <v>2.31592256</v>
      </c>
      <c r="G77" s="18" t="n">
        <v>0.37460914</v>
      </c>
      <c r="H77" s="20" t="n">
        <v>0.37430532</v>
      </c>
      <c r="I77" s="18" t="n">
        <v>3.65793478</v>
      </c>
      <c r="J77" s="20" t="n">
        <v>1.10906535</v>
      </c>
      <c r="K77" s="18" t="n">
        <v>0.28099686</v>
      </c>
      <c r="L77" s="20" t="n">
        <v>0.27547163</v>
      </c>
      <c r="M77" s="18" t="n">
        <v>0.28557197</v>
      </c>
      <c r="N77" s="20" t="n">
        <v>0.28865305</v>
      </c>
      <c r="O77" s="18" t="n">
        <v>2.09470019</v>
      </c>
      <c r="P77" s="20" t="n">
        <v>0.53118962</v>
      </c>
      <c r="Q77" s="18" t="n">
        <v>1.04833172</v>
      </c>
      <c r="R77" s="20" t="n">
        <v>0.51157306</v>
      </c>
      <c r="S77" s="18" t="s">
        <v>349</v>
      </c>
      <c r="T77" s="20" t="s">
        <v>349</v>
      </c>
      <c r="U77" s="18" t="n">
        <v>0.28557708</v>
      </c>
      <c r="V77" s="20" t="n">
        <v>0.28744528</v>
      </c>
      <c r="W77" s="18" t="n">
        <v>5.30980605</v>
      </c>
      <c r="X77" s="20" t="n">
        <v>1.1260803</v>
      </c>
      <c r="Y77" s="18" t="n">
        <v>0</v>
      </c>
      <c r="Z77" s="20" t="n">
        <v>0</v>
      </c>
      <c r="AA77" s="18" t="n">
        <v>54.35594162</v>
      </c>
      <c r="AB77" s="20" t="n">
        <v>2.59444672</v>
      </c>
    </row>
    <row r="78" spans="1:2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c r="W78" s="18" t="s">
        <v>349</v>
      </c>
      <c r="X78" s="20" t="s">
        <v>349</v>
      </c>
      <c r="Y78" s="18" t="s">
        <v>349</v>
      </c>
      <c r="Z78" s="20" t="s">
        <v>349</v>
      </c>
      <c r="AA78" s="18" t="s">
        <v>349</v>
      </c>
      <c r="AB78" s="20" t="s">
        <v>349</v>
      </c>
    </row>
    <row customHeight="1" ht="25" r="79" spans="1:2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c r="W79" s="18" t="s">
        <v>349</v>
      </c>
      <c r="X79" s="20" t="s">
        <v>349</v>
      </c>
      <c r="Y79" s="18" t="s">
        <v>349</v>
      </c>
      <c r="Z79" s="20" t="s">
        <v>349</v>
      </c>
      <c r="AA79" s="18" t="s">
        <v>349</v>
      </c>
      <c r="AB79" s="20" t="s">
        <v>349</v>
      </c>
    </row>
    <row r="80" spans="1:2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c r="Y80" s="18" t="s">
        <v>349</v>
      </c>
      <c r="Z80" s="20" t="s">
        <v>349</v>
      </c>
      <c r="AA80" s="18" t="s">
        <v>349</v>
      </c>
      <c r="AB80" s="20" t="s">
        <v>349</v>
      </c>
    </row>
    <row r="81" spans="1:28">
      <c r="A81" s="21" t="s">
        <v>423</v>
      </c>
      <c r="B81" s="17" t="n">
        <v>4698</v>
      </c>
      <c r="C81" s="18">
        <f>(4138.0/B81*100)</f>
        <v/>
      </c>
      <c r="D81" s="19" t="n">
        <v>560</v>
      </c>
      <c r="E81" s="18" t="n">
        <v>77.77876413</v>
      </c>
      <c r="F81" s="20" t="n">
        <v>2.27837974</v>
      </c>
      <c r="G81" s="18" t="n">
        <v>0.78366399</v>
      </c>
      <c r="H81" s="20" t="n">
        <v>0.44713633</v>
      </c>
      <c r="I81" s="18" t="n">
        <v>1.81458572</v>
      </c>
      <c r="J81" s="20" t="n">
        <v>0.68577392</v>
      </c>
      <c r="K81" s="18" t="n">
        <v>0.45489776</v>
      </c>
      <c r="L81" s="20" t="n">
        <v>0.35644002</v>
      </c>
      <c r="M81" s="18" t="n">
        <v>0.01493091</v>
      </c>
      <c r="N81" s="20" t="n">
        <v>0.01486306</v>
      </c>
      <c r="O81" s="18" t="n">
        <v>5.90241368</v>
      </c>
      <c r="P81" s="20" t="n">
        <v>1.16806295</v>
      </c>
      <c r="Q81" s="18" t="n">
        <v>4.41227976</v>
      </c>
      <c r="R81" s="20" t="n">
        <v>1.04248643</v>
      </c>
      <c r="S81" s="18" t="s">
        <v>349</v>
      </c>
      <c r="T81" s="20" t="s">
        <v>349</v>
      </c>
      <c r="U81" s="18" t="n">
        <v>0</v>
      </c>
      <c r="V81" s="20" t="n">
        <v>0</v>
      </c>
      <c r="W81" s="18" t="n">
        <v>0</v>
      </c>
      <c r="X81" s="20" t="n">
        <v>0</v>
      </c>
      <c r="Y81" s="18" t="n">
        <v>0</v>
      </c>
      <c r="Z81" s="20" t="n">
        <v>0</v>
      </c>
      <c r="AA81" s="18" t="n">
        <v>8.838464050000001</v>
      </c>
      <c r="AB81" s="20" t="n">
        <v>1.49691956</v>
      </c>
    </row>
    <row r="82" spans="1:2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c r="Y82" s="22" t="s">
        <v>424</v>
      </c>
      <c r="Z82" s="22" t="s">
        <v>424</v>
      </c>
      <c r="AA82" s="22" t="s">
        <v>424</v>
      </c>
      <c r="AB82" s="22" t="s">
        <v>424</v>
      </c>
    </row>
    <row r="83" spans="1:28">
      <c r="A83" s="3" t="s">
        <v>425</v>
      </c>
    </row>
    <row r="84" spans="1:28">
      <c r="A84" s="23" t="s">
        <v>426</v>
      </c>
    </row>
    <row r="85" spans="1:28">
      <c r="A85" s="23" t="s">
        <v>427</v>
      </c>
    </row>
    <row customHeight="1" ht="30" r="86" spans="1:28">
      <c r="A86" s="23" t="s">
        <v>428</v>
      </c>
    </row>
    <row customHeight="1" ht="30" r="87" spans="1:28">
      <c r="A87" s="23" t="s">
        <v>424</v>
      </c>
    </row>
    <row customHeight="1" ht="30" r="88" spans="1:28">
      <c r="A88" s="23" t="s">
        <v>429</v>
      </c>
    </row>
    <row customHeight="1" ht="30" r="89" spans="1:28">
      <c r="A89" s="23" t="s">
        <v>430</v>
      </c>
    </row>
    <row customHeight="1" ht="30" r="90" spans="1:28">
      <c r="A90" s="23" t="s">
        <v>431</v>
      </c>
    </row>
    <row customHeight="1" ht="30" r="91" spans="1:28">
      <c r="A91" s="23" t="s">
        <v>432</v>
      </c>
    </row>
    <row customHeight="1" ht="30" r="92" spans="1:28">
      <c r="A92" s="23" t="s">
        <v>433</v>
      </c>
    </row>
    <row customHeight="1" ht="30" r="93" spans="1:28">
      <c r="A93" s="23" t="s">
        <v>434</v>
      </c>
    </row>
    <row customHeight="1" ht="30" r="94" spans="1:28">
      <c r="A94" s="23" t="s">
        <v>435</v>
      </c>
    </row>
    <row customHeight="1" ht="30" r="95" spans="1:28">
      <c r="A95" s="23" t="s">
        <v>436</v>
      </c>
    </row>
    <row customHeight="1" ht="30" r="96" spans="1:28">
      <c r="A96" s="23" t="s">
        <v>437</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(6248.0/B7*100)</f>
        <v/>
      </c>
      <c r="D7" s="19" t="n">
        <v>915</v>
      </c>
      <c r="E7" s="18" t="n">
        <v>41.13848459</v>
      </c>
      <c r="F7" s="20" t="n">
        <v>2.029204</v>
      </c>
      <c r="G7" s="18" t="n">
        <v>57.76789359</v>
      </c>
      <c r="H7" s="20" t="n">
        <v>2.06806674</v>
      </c>
      <c r="I7" s="18" t="s">
        <v>349</v>
      </c>
      <c r="J7" s="20" t="s">
        <v>349</v>
      </c>
      <c r="K7" s="18" t="n">
        <v>0.07992046</v>
      </c>
      <c r="L7" s="20" t="n">
        <v>0.07795729</v>
      </c>
      <c r="M7" s="18" t="n">
        <v>0</v>
      </c>
      <c r="N7" s="20" t="n">
        <v>0</v>
      </c>
      <c r="O7" s="18" t="n">
        <v>0</v>
      </c>
      <c r="P7" s="20" t="n">
        <v>0</v>
      </c>
      <c r="Q7" s="18" t="n">
        <v>1.01370137</v>
      </c>
      <c r="R7" s="20" t="n">
        <v>0.37282042</v>
      </c>
    </row>
    <row r="8" spans="1:18">
      <c r="A8" s="15" t="s">
        <v>350</v>
      </c>
      <c r="B8" s="17" t="n">
        <v>3443</v>
      </c>
      <c r="C8" s="18">
        <f>(3030.0/B8*100)</f>
        <v/>
      </c>
      <c r="D8" s="19" t="n">
        <v>413</v>
      </c>
      <c r="E8" s="18" t="n">
        <v>52.10181976</v>
      </c>
      <c r="F8" s="20" t="n">
        <v>2.73819214</v>
      </c>
      <c r="G8" s="18" t="n">
        <v>45.23292322</v>
      </c>
      <c r="H8" s="20" t="n">
        <v>2.65875111</v>
      </c>
      <c r="I8" s="18" t="s">
        <v>349</v>
      </c>
      <c r="J8" s="20" t="s">
        <v>349</v>
      </c>
      <c r="K8" s="18" t="n">
        <v>0.1247617</v>
      </c>
      <c r="L8" s="20" t="n">
        <v>0.12756407</v>
      </c>
      <c r="M8" s="18" t="n">
        <v>0</v>
      </c>
      <c r="N8" s="20" t="n">
        <v>0</v>
      </c>
      <c r="O8" s="18" t="n">
        <v>0</v>
      </c>
      <c r="P8" s="20" t="n">
        <v>0</v>
      </c>
      <c r="Q8" s="18" t="n">
        <v>2.54049532</v>
      </c>
      <c r="R8" s="20" t="n">
        <v>0.94961699</v>
      </c>
    </row>
    <row r="9" spans="1:18">
      <c r="A9" s="15" t="s">
        <v>351</v>
      </c>
      <c r="B9" s="17" t="n">
        <v>4752</v>
      </c>
      <c r="C9" s="18">
        <f>(4171.0/B9*100)</f>
        <v/>
      </c>
      <c r="D9" s="19" t="n">
        <v>581</v>
      </c>
      <c r="E9" s="18" t="n">
        <v>47.80736567</v>
      </c>
      <c r="F9" s="20" t="n">
        <v>2.11099168</v>
      </c>
      <c r="G9" s="18" t="n">
        <v>50.05110423</v>
      </c>
      <c r="H9" s="20" t="n">
        <v>2.13117655</v>
      </c>
      <c r="I9" s="18" t="s">
        <v>349</v>
      </c>
      <c r="J9" s="20" t="s">
        <v>349</v>
      </c>
      <c r="K9" s="18" t="n">
        <v>0.22016289</v>
      </c>
      <c r="L9" s="20" t="n">
        <v>0.22066494</v>
      </c>
      <c r="M9" s="18" t="n">
        <v>0</v>
      </c>
      <c r="N9" s="20" t="n">
        <v>0</v>
      </c>
      <c r="O9" s="18" t="n">
        <v>0</v>
      </c>
      <c r="P9" s="20" t="n">
        <v>0</v>
      </c>
      <c r="Q9" s="18" t="n">
        <v>1.9213672</v>
      </c>
      <c r="R9" s="20" t="n">
        <v>0.62376628</v>
      </c>
    </row>
    <row r="10" spans="1:18">
      <c r="A10" s="15" t="s">
        <v>352</v>
      </c>
      <c r="B10" s="17" t="n">
        <v>10022</v>
      </c>
      <c r="C10" s="18">
        <f>(8826.0/B10*100)</f>
        <v/>
      </c>
      <c r="D10" s="19" t="n">
        <v>1196</v>
      </c>
      <c r="E10" s="18" t="n">
        <v>42.5344769</v>
      </c>
      <c r="F10" s="20" t="n">
        <v>1.85732168</v>
      </c>
      <c r="G10" s="18" t="n">
        <v>56.724554</v>
      </c>
      <c r="H10" s="20" t="n">
        <v>1.84286617</v>
      </c>
      <c r="I10" s="18" t="s">
        <v>349</v>
      </c>
      <c r="J10" s="20" t="s">
        <v>349</v>
      </c>
      <c r="K10" s="18" t="n">
        <v>0.04596594</v>
      </c>
      <c r="L10" s="20" t="n">
        <v>0.02841869</v>
      </c>
      <c r="M10" s="18" t="n">
        <v>0</v>
      </c>
      <c r="N10" s="20" t="n">
        <v>0</v>
      </c>
      <c r="O10" s="18" t="n">
        <v>0</v>
      </c>
      <c r="P10" s="20" t="n">
        <v>0</v>
      </c>
      <c r="Q10" s="18" t="n">
        <v>0.69500316</v>
      </c>
      <c r="R10" s="20" t="n">
        <v>0.32995716</v>
      </c>
    </row>
    <row r="11" spans="1:18">
      <c r="A11" s="15" t="s">
        <v>353</v>
      </c>
      <c r="B11" s="17" t="n">
        <v>3500</v>
      </c>
      <c r="C11" s="18">
        <f>(3079.0/B11*100)</f>
        <v/>
      </c>
      <c r="D11" s="19" t="n">
        <v>421</v>
      </c>
      <c r="E11" s="18" t="n">
        <v>52.71257839</v>
      </c>
      <c r="F11" s="20" t="n">
        <v>2.64879415</v>
      </c>
      <c r="G11" s="18" t="n">
        <v>41.39974272</v>
      </c>
      <c r="H11" s="20" t="n">
        <v>2.53803893</v>
      </c>
      <c r="I11" s="18" t="s">
        <v>349</v>
      </c>
      <c r="J11" s="20" t="s">
        <v>349</v>
      </c>
      <c r="K11" s="18" t="n">
        <v>0.15944789</v>
      </c>
      <c r="L11" s="20" t="n">
        <v>0.14614386</v>
      </c>
      <c r="M11" s="18" t="n">
        <v>0</v>
      </c>
      <c r="N11" s="20" t="n">
        <v>0</v>
      </c>
      <c r="O11" s="18" t="n">
        <v>0</v>
      </c>
      <c r="P11" s="20" t="n">
        <v>0</v>
      </c>
      <c r="Q11" s="18" t="n">
        <v>5.728231</v>
      </c>
      <c r="R11" s="20" t="n">
        <v>1.18382974</v>
      </c>
    </row>
    <row r="12" spans="1:18">
      <c r="A12" s="15" t="s">
        <v>354</v>
      </c>
      <c r="B12" s="17" t="n">
        <v>3422</v>
      </c>
      <c r="C12" s="18">
        <f>(3003.0/B12*100)</f>
        <v/>
      </c>
      <c r="D12" s="19" t="n">
        <v>419</v>
      </c>
      <c r="E12" s="18" t="n">
        <v>46.27752442</v>
      </c>
      <c r="F12" s="20" t="n">
        <v>2.93606135</v>
      </c>
      <c r="G12" s="18" t="n">
        <v>52.12603147</v>
      </c>
      <c r="H12" s="20" t="n">
        <v>2.87484246</v>
      </c>
      <c r="I12" s="18" t="s">
        <v>349</v>
      </c>
      <c r="J12" s="20" t="s">
        <v>349</v>
      </c>
      <c r="K12" s="18" t="n">
        <v>0</v>
      </c>
      <c r="L12" s="20" t="n">
        <v>0</v>
      </c>
      <c r="M12" s="18" t="n">
        <v>0</v>
      </c>
      <c r="N12" s="20" t="n">
        <v>0</v>
      </c>
      <c r="O12" s="18" t="n">
        <v>0</v>
      </c>
      <c r="P12" s="20" t="n">
        <v>0</v>
      </c>
      <c r="Q12" s="18" t="n">
        <v>1.59644411</v>
      </c>
      <c r="R12" s="20" t="n">
        <v>0.6566299</v>
      </c>
    </row>
    <row r="13" spans="1:18">
      <c r="A13" s="15" t="s">
        <v>355</v>
      </c>
      <c r="B13" s="17" t="n">
        <v>3602</v>
      </c>
      <c r="C13" s="18">
        <f>(3201.0/B13*100)</f>
        <v/>
      </c>
      <c r="D13" s="19" t="n">
        <v>401</v>
      </c>
      <c r="E13" s="18" t="n">
        <v>41.93905178</v>
      </c>
      <c r="F13" s="20" t="n">
        <v>2.88866447</v>
      </c>
      <c r="G13" s="18" t="n">
        <v>55.34047636</v>
      </c>
      <c r="H13" s="20" t="n">
        <v>3.05150355</v>
      </c>
      <c r="I13" s="18" t="s">
        <v>349</v>
      </c>
      <c r="J13" s="20" t="s">
        <v>349</v>
      </c>
      <c r="K13" s="18" t="n">
        <v>0.53868361</v>
      </c>
      <c r="L13" s="20" t="n">
        <v>0.5306268200000001</v>
      </c>
      <c r="M13" s="18" t="n">
        <v>0</v>
      </c>
      <c r="N13" s="20" t="n">
        <v>0</v>
      </c>
      <c r="O13" s="18" t="n">
        <v>0</v>
      </c>
      <c r="P13" s="20" t="n">
        <v>0</v>
      </c>
      <c r="Q13" s="18" t="n">
        <v>2.18178826</v>
      </c>
      <c r="R13" s="20" t="n">
        <v>0.75351913</v>
      </c>
    </row>
    <row r="14" spans="1:18">
      <c r="A14" s="15" t="s">
        <v>356</v>
      </c>
      <c r="B14" s="17" t="n">
        <v>2788</v>
      </c>
      <c r="C14" s="18">
        <f>(2434.0/B14*100)</f>
        <v/>
      </c>
      <c r="D14" s="19" t="n">
        <v>354</v>
      </c>
      <c r="E14" s="18" t="n">
        <v>38.60982863</v>
      </c>
      <c r="F14" s="20" t="n">
        <v>2.28444755</v>
      </c>
      <c r="G14" s="18" t="n">
        <v>60.46975383</v>
      </c>
      <c r="H14" s="20" t="n">
        <v>2.3740959</v>
      </c>
      <c r="I14" s="18" t="s">
        <v>349</v>
      </c>
      <c r="J14" s="20" t="s">
        <v>349</v>
      </c>
      <c r="K14" s="18" t="n">
        <v>0</v>
      </c>
      <c r="L14" s="20" t="n">
        <v>0</v>
      </c>
      <c r="M14" s="18" t="n">
        <v>0</v>
      </c>
      <c r="N14" s="20" t="n">
        <v>0</v>
      </c>
      <c r="O14" s="18" t="n">
        <v>0</v>
      </c>
      <c r="P14" s="20" t="n">
        <v>0</v>
      </c>
      <c r="Q14" s="18" t="n">
        <v>0.92041754</v>
      </c>
      <c r="R14" s="20" t="n">
        <v>0.66922477</v>
      </c>
    </row>
    <row r="15" spans="1:18">
      <c r="A15" s="15" t="s">
        <v>357</v>
      </c>
      <c r="B15" s="17" t="n">
        <v>2863</v>
      </c>
      <c r="C15" s="18">
        <f>(2495.0/B15*100)</f>
        <v/>
      </c>
      <c r="D15" s="19" t="n">
        <v>368</v>
      </c>
      <c r="E15" s="18" t="n">
        <v>26.32751968</v>
      </c>
      <c r="F15" s="20" t="n">
        <v>2.56197351</v>
      </c>
      <c r="G15" s="18" t="n">
        <v>72.79062756</v>
      </c>
      <c r="H15" s="20" t="n">
        <v>2.4860345</v>
      </c>
      <c r="I15" s="18" t="s">
        <v>349</v>
      </c>
      <c r="J15" s="20" t="s">
        <v>349</v>
      </c>
      <c r="K15" s="18" t="n">
        <v>0</v>
      </c>
      <c r="L15" s="20" t="n">
        <v>0</v>
      </c>
      <c r="M15" s="18" t="n">
        <v>0</v>
      </c>
      <c r="N15" s="20" t="n">
        <v>0</v>
      </c>
      <c r="O15" s="18" t="n">
        <v>0</v>
      </c>
      <c r="P15" s="20" t="n">
        <v>0</v>
      </c>
      <c r="Q15" s="18" t="n">
        <v>0.88185276</v>
      </c>
      <c r="R15" s="20" t="n">
        <v>0.63401908</v>
      </c>
    </row>
    <row r="16" spans="1:18">
      <c r="A16" s="15" t="s">
        <v>358</v>
      </c>
      <c r="B16" s="17" t="n">
        <v>3111</v>
      </c>
      <c r="C16" s="18">
        <f>(2730.0/B16*100)</f>
        <v/>
      </c>
      <c r="D16" s="19" t="n">
        <v>381</v>
      </c>
      <c r="E16" s="18" t="n">
        <v>36.18788705</v>
      </c>
      <c r="F16" s="20" t="n">
        <v>2.8601857</v>
      </c>
      <c r="G16" s="18" t="n">
        <v>60.33009423</v>
      </c>
      <c r="H16" s="20" t="n">
        <v>2.87855528</v>
      </c>
      <c r="I16" s="18" t="s">
        <v>349</v>
      </c>
      <c r="J16" s="20" t="s">
        <v>349</v>
      </c>
      <c r="K16" s="18" t="n">
        <v>0.78732896</v>
      </c>
      <c r="L16" s="20" t="n">
        <v>0.42186388</v>
      </c>
      <c r="M16" s="18" t="n">
        <v>0</v>
      </c>
      <c r="N16" s="20" t="n">
        <v>0</v>
      </c>
      <c r="O16" s="18" t="n">
        <v>0</v>
      </c>
      <c r="P16" s="20" t="n">
        <v>0</v>
      </c>
      <c r="Q16" s="18" t="n">
        <v>2.69468975</v>
      </c>
      <c r="R16" s="20" t="n">
        <v>0.93225731</v>
      </c>
    </row>
    <row r="17" spans="1:18">
      <c r="A17" s="15" t="s">
        <v>359</v>
      </c>
      <c r="B17" s="17" t="n">
        <v>3197</v>
      </c>
      <c r="C17" s="18">
        <f>(2813.0/B17*100)</f>
        <v/>
      </c>
      <c r="D17" s="19" t="n">
        <v>384</v>
      </c>
      <c r="E17" s="18" t="n">
        <v>46.10091211</v>
      </c>
      <c r="F17" s="20" t="n">
        <v>2.71126534</v>
      </c>
      <c r="G17" s="18" t="n">
        <v>51.5805503</v>
      </c>
      <c r="H17" s="20" t="n">
        <v>2.78702716</v>
      </c>
      <c r="I17" s="18" t="s">
        <v>349</v>
      </c>
      <c r="J17" s="20" t="s">
        <v>349</v>
      </c>
      <c r="K17" s="18" t="n">
        <v>0.5195550799999999</v>
      </c>
      <c r="L17" s="20" t="n">
        <v>0.36853142</v>
      </c>
      <c r="M17" s="18" t="n">
        <v>0</v>
      </c>
      <c r="N17" s="20" t="n">
        <v>0</v>
      </c>
      <c r="O17" s="18" t="n">
        <v>0</v>
      </c>
      <c r="P17" s="20" t="n">
        <v>0</v>
      </c>
      <c r="Q17" s="18" t="n">
        <v>1.79898251</v>
      </c>
      <c r="R17" s="20" t="n">
        <v>0.71145888</v>
      </c>
    </row>
    <row r="18" spans="1:18">
      <c r="A18" s="15" t="s">
        <v>360</v>
      </c>
      <c r="B18" s="17" t="n">
        <v>2706</v>
      </c>
      <c r="C18" s="18">
        <f>(2389.0/B18*100)</f>
        <v/>
      </c>
      <c r="D18" s="19" t="n">
        <v>317</v>
      </c>
      <c r="E18" s="18" t="n">
        <v>57.47756156</v>
      </c>
      <c r="F18" s="20" t="n">
        <v>2.97629114</v>
      </c>
      <c r="G18" s="18" t="n">
        <v>40.05291761</v>
      </c>
      <c r="H18" s="20" t="n">
        <v>3.00465652</v>
      </c>
      <c r="I18" s="18" t="s">
        <v>349</v>
      </c>
      <c r="J18" s="20" t="s">
        <v>349</v>
      </c>
      <c r="K18" s="18" t="n">
        <v>1.10406605</v>
      </c>
      <c r="L18" s="20" t="n">
        <v>0.51891814</v>
      </c>
      <c r="M18" s="18" t="n">
        <v>0</v>
      </c>
      <c r="N18" s="20" t="n">
        <v>0</v>
      </c>
      <c r="O18" s="18" t="n">
        <v>0</v>
      </c>
      <c r="P18" s="20" t="n">
        <v>0</v>
      </c>
      <c r="Q18" s="18" t="n">
        <v>1.36545478</v>
      </c>
      <c r="R18" s="20" t="n">
        <v>0.7375439</v>
      </c>
    </row>
    <row r="19" spans="1:18">
      <c r="A19" s="15" t="s">
        <v>361</v>
      </c>
      <c r="B19" s="17" t="n">
        <v>2850</v>
      </c>
      <c r="C19" s="18">
        <f>(2489.0/B19*100)</f>
        <v/>
      </c>
      <c r="D19" s="19" t="n">
        <v>361</v>
      </c>
      <c r="E19" s="18" t="n">
        <v>47.68805793</v>
      </c>
      <c r="F19" s="20" t="n">
        <v>2.61178333</v>
      </c>
      <c r="G19" s="18" t="n">
        <v>51.73805949</v>
      </c>
      <c r="H19" s="20" t="n">
        <v>2.63100491</v>
      </c>
      <c r="I19" s="18" t="s">
        <v>349</v>
      </c>
      <c r="J19" s="20" t="s">
        <v>349</v>
      </c>
      <c r="K19" s="18" t="n">
        <v>0</v>
      </c>
      <c r="L19" s="20" t="n">
        <v>0</v>
      </c>
      <c r="M19" s="18" t="n">
        <v>0</v>
      </c>
      <c r="N19" s="20" t="n">
        <v>0</v>
      </c>
      <c r="O19" s="18" t="n">
        <v>0</v>
      </c>
      <c r="P19" s="20" t="n">
        <v>0</v>
      </c>
      <c r="Q19" s="18" t="n">
        <v>0.57388258</v>
      </c>
      <c r="R19" s="20" t="n">
        <v>0.33654219</v>
      </c>
    </row>
    <row r="20" spans="1:18">
      <c r="A20" s="15" t="s">
        <v>362</v>
      </c>
      <c r="B20" s="17" t="n">
        <v>1741</v>
      </c>
      <c r="C20" s="18">
        <f>(1520.0/B20*100)</f>
        <v/>
      </c>
      <c r="D20" s="19" t="n">
        <v>221</v>
      </c>
      <c r="E20" s="18" t="n">
        <v>45.78170002</v>
      </c>
      <c r="F20" s="20" t="n">
        <v>3.40999151</v>
      </c>
      <c r="G20" s="18" t="n">
        <v>50.74439733</v>
      </c>
      <c r="H20" s="20" t="n">
        <v>3.37721429</v>
      </c>
      <c r="I20" s="18" t="s">
        <v>349</v>
      </c>
      <c r="J20" s="20" t="s">
        <v>349</v>
      </c>
      <c r="K20" s="18" t="n">
        <v>0</v>
      </c>
      <c r="L20" s="20" t="n">
        <v>0</v>
      </c>
      <c r="M20" s="18" t="n">
        <v>0</v>
      </c>
      <c r="N20" s="20" t="n">
        <v>0</v>
      </c>
      <c r="O20" s="18" t="n">
        <v>0</v>
      </c>
      <c r="P20" s="20" t="n">
        <v>0</v>
      </c>
      <c r="Q20" s="18" t="n">
        <v>3.47390265</v>
      </c>
      <c r="R20" s="20" t="n">
        <v>1.19487308</v>
      </c>
    </row>
    <row r="21" spans="1:18">
      <c r="A21" s="15" t="s">
        <v>363</v>
      </c>
      <c r="B21" s="17" t="n">
        <v>2833</v>
      </c>
      <c r="C21" s="18">
        <f>(2374.0/B21*100)</f>
        <v/>
      </c>
      <c r="D21" s="19" t="n">
        <v>459</v>
      </c>
      <c r="E21" s="18" t="n">
        <v>40.05739805</v>
      </c>
      <c r="F21" s="20" t="n">
        <v>2.30760166</v>
      </c>
      <c r="G21" s="18" t="n">
        <v>59.07886662</v>
      </c>
      <c r="H21" s="20" t="n">
        <v>2.28621293</v>
      </c>
      <c r="I21" s="18" t="s">
        <v>349</v>
      </c>
      <c r="J21" s="20" t="s">
        <v>349</v>
      </c>
      <c r="K21" s="18" t="n">
        <v>0.18335074</v>
      </c>
      <c r="L21" s="20" t="n">
        <v>0.18153487</v>
      </c>
      <c r="M21" s="18" t="n">
        <v>0</v>
      </c>
      <c r="N21" s="20" t="n">
        <v>0</v>
      </c>
      <c r="O21" s="18" t="n">
        <v>0</v>
      </c>
      <c r="P21" s="20" t="n">
        <v>0</v>
      </c>
      <c r="Q21" s="18" t="n">
        <v>0.68038459</v>
      </c>
      <c r="R21" s="20" t="n">
        <v>0.37451049</v>
      </c>
    </row>
    <row r="22" spans="1:18">
      <c r="A22" s="15" t="s">
        <v>364</v>
      </c>
      <c r="B22" s="17" t="n">
        <v>3667</v>
      </c>
      <c r="C22" s="18">
        <f>(3201.0/B22*100)</f>
        <v/>
      </c>
      <c r="D22" s="19" t="n">
        <v>466</v>
      </c>
      <c r="E22" s="18" t="n">
        <v>59.5804956</v>
      </c>
      <c r="F22" s="20" t="n">
        <v>2.05056021</v>
      </c>
      <c r="G22" s="18" t="n">
        <v>33.75543932</v>
      </c>
      <c r="H22" s="20" t="n">
        <v>2.02774367</v>
      </c>
      <c r="I22" s="18" t="s">
        <v>349</v>
      </c>
      <c r="J22" s="20" t="s">
        <v>349</v>
      </c>
      <c r="K22" s="18" t="n">
        <v>0.38617984</v>
      </c>
      <c r="L22" s="20" t="n">
        <v>0.27046995</v>
      </c>
      <c r="M22" s="18" t="n">
        <v>0</v>
      </c>
      <c r="N22" s="20" t="n">
        <v>0</v>
      </c>
      <c r="O22" s="18" t="n">
        <v>0</v>
      </c>
      <c r="P22" s="20" t="n">
        <v>0</v>
      </c>
      <c r="Q22" s="18" t="n">
        <v>6.27788524</v>
      </c>
      <c r="R22" s="20" t="n">
        <v>1.11968405</v>
      </c>
    </row>
    <row r="23" spans="1:18">
      <c r="A23" s="15" t="s">
        <v>365</v>
      </c>
      <c r="B23" s="17" t="n">
        <v>5792</v>
      </c>
      <c r="C23" s="18">
        <f>(5050.0/B23*100)</f>
        <v/>
      </c>
      <c r="D23" s="19" t="n">
        <v>742</v>
      </c>
      <c r="E23" s="18" t="n">
        <v>50.31231672</v>
      </c>
      <c r="F23" s="20" t="n">
        <v>2.69638664</v>
      </c>
      <c r="G23" s="18" t="n">
        <v>47.70004561</v>
      </c>
      <c r="H23" s="20" t="n">
        <v>2.73310878</v>
      </c>
      <c r="I23" s="18" t="s">
        <v>349</v>
      </c>
      <c r="J23" s="20" t="s">
        <v>349</v>
      </c>
      <c r="K23" s="18" t="n">
        <v>0.92313293</v>
      </c>
      <c r="L23" s="20" t="n">
        <v>0.56380244</v>
      </c>
      <c r="M23" s="18" t="n">
        <v>0</v>
      </c>
      <c r="N23" s="20" t="n">
        <v>0</v>
      </c>
      <c r="O23" s="18" t="n">
        <v>0</v>
      </c>
      <c r="P23" s="20" t="n">
        <v>0</v>
      </c>
      <c r="Q23" s="18" t="n">
        <v>1.06450474</v>
      </c>
      <c r="R23" s="20" t="n">
        <v>0.47325397</v>
      </c>
    </row>
    <row r="24" spans="1:18">
      <c r="A24" s="15" t="s">
        <v>366</v>
      </c>
      <c r="B24" s="17" t="n">
        <v>3309</v>
      </c>
      <c r="C24" s="18">
        <f>(2881.0/B24*100)</f>
        <v/>
      </c>
      <c r="D24" s="19" t="n">
        <v>428</v>
      </c>
      <c r="E24" s="18" t="n">
        <v>36.17490482</v>
      </c>
      <c r="F24" s="20" t="n">
        <v>2.1584106</v>
      </c>
      <c r="G24" s="18" t="n">
        <v>63.10193896</v>
      </c>
      <c r="H24" s="20" t="n">
        <v>2.15327002</v>
      </c>
      <c r="I24" s="18" t="s">
        <v>349</v>
      </c>
      <c r="J24" s="20" t="s">
        <v>349</v>
      </c>
      <c r="K24" s="18" t="n">
        <v>0.2126946</v>
      </c>
      <c r="L24" s="20" t="n">
        <v>0.21206677</v>
      </c>
      <c r="M24" s="18" t="n">
        <v>0</v>
      </c>
      <c r="N24" s="20" t="n">
        <v>0</v>
      </c>
      <c r="O24" s="18" t="n">
        <v>0</v>
      </c>
      <c r="P24" s="20" t="n">
        <v>0</v>
      </c>
      <c r="Q24" s="18" t="n">
        <v>0.51046163</v>
      </c>
      <c r="R24" s="20" t="n">
        <v>0.36413832</v>
      </c>
    </row>
    <row r="25" spans="1:18">
      <c r="A25" s="15" t="s">
        <v>367</v>
      </c>
      <c r="B25" s="17" t="n">
        <v>2669</v>
      </c>
      <c r="C25" s="18">
        <f>(2340.0/B25*100)</f>
        <v/>
      </c>
      <c r="D25" s="19" t="n">
        <v>329</v>
      </c>
      <c r="E25" s="18" t="n">
        <v>41.22865263</v>
      </c>
      <c r="F25" s="20" t="n">
        <v>2.83318073</v>
      </c>
      <c r="G25" s="18" t="n">
        <v>58.49806622</v>
      </c>
      <c r="H25" s="20" t="n">
        <v>2.8249241</v>
      </c>
      <c r="I25" s="18" t="s">
        <v>349</v>
      </c>
      <c r="J25" s="20" t="s">
        <v>349</v>
      </c>
      <c r="K25" s="18" t="n">
        <v>0</v>
      </c>
      <c r="L25" s="20" t="n">
        <v>0</v>
      </c>
      <c r="M25" s="18" t="n">
        <v>0</v>
      </c>
      <c r="N25" s="20" t="n">
        <v>0</v>
      </c>
      <c r="O25" s="18" t="n">
        <v>0</v>
      </c>
      <c r="P25" s="20" t="n">
        <v>0</v>
      </c>
      <c r="Q25" s="18" t="n">
        <v>0.27328115</v>
      </c>
      <c r="R25" s="20" t="n">
        <v>0.27182579</v>
      </c>
    </row>
    <row r="26" spans="1:18">
      <c r="A26" s="15" t="s">
        <v>368</v>
      </c>
      <c r="B26" s="17" t="n">
        <v>2419</v>
      </c>
      <c r="C26" s="18">
        <f>(2121.0/B26*100)</f>
        <v/>
      </c>
      <c r="D26" s="19" t="n">
        <v>298</v>
      </c>
      <c r="E26" s="18" t="n">
        <v>41.76519766</v>
      </c>
      <c r="F26" s="20" t="n">
        <v>3.0147517</v>
      </c>
      <c r="G26" s="18" t="n">
        <v>58.23480234</v>
      </c>
      <c r="H26" s="20" t="n">
        <v>3.0147517</v>
      </c>
      <c r="I26" s="18" t="s">
        <v>349</v>
      </c>
      <c r="J26" s="20" t="s">
        <v>349</v>
      </c>
      <c r="K26" s="18" t="n">
        <v>0</v>
      </c>
      <c r="L26" s="20" t="n">
        <v>0</v>
      </c>
      <c r="M26" s="18" t="n">
        <v>0</v>
      </c>
      <c r="N26" s="20" t="n">
        <v>0</v>
      </c>
      <c r="O26" s="18" t="n">
        <v>0</v>
      </c>
      <c r="P26" s="20" t="n">
        <v>0</v>
      </c>
      <c r="Q26" s="18" t="n">
        <v>0</v>
      </c>
      <c r="R26" s="20" t="n">
        <v>0</v>
      </c>
    </row>
    <row r="27" spans="1:18">
      <c r="A27" s="15" t="s">
        <v>369</v>
      </c>
      <c r="B27" s="17" t="n">
        <v>2683</v>
      </c>
      <c r="C27" s="18">
        <f>(2364.0/B27*100)</f>
        <v/>
      </c>
      <c r="D27" s="19" t="n">
        <v>319</v>
      </c>
      <c r="E27" s="18" t="n">
        <v>51.24734607</v>
      </c>
      <c r="F27" s="20" t="n">
        <v>2.85577418</v>
      </c>
      <c r="G27" s="18" t="n">
        <v>46.57815829</v>
      </c>
      <c r="H27" s="20" t="n">
        <v>2.92467859</v>
      </c>
      <c r="I27" s="18" t="s">
        <v>349</v>
      </c>
      <c r="J27" s="20" t="s">
        <v>349</v>
      </c>
      <c r="K27" s="18" t="n">
        <v>0</v>
      </c>
      <c r="L27" s="20" t="n">
        <v>0</v>
      </c>
      <c r="M27" s="18" t="n">
        <v>0</v>
      </c>
      <c r="N27" s="20" t="n">
        <v>0</v>
      </c>
      <c r="O27" s="18" t="n">
        <v>0</v>
      </c>
      <c r="P27" s="20" t="n">
        <v>0</v>
      </c>
      <c r="Q27" s="18" t="n">
        <v>2.17449564</v>
      </c>
      <c r="R27" s="20" t="n">
        <v>0.9124648</v>
      </c>
    </row>
    <row r="28" spans="1:18">
      <c r="A28" s="15" t="s">
        <v>370</v>
      </c>
      <c r="B28" s="17" t="n">
        <v>3803</v>
      </c>
      <c r="C28" s="18">
        <f>(3353.0/B28*100)</f>
        <v/>
      </c>
      <c r="D28" s="19" t="n">
        <v>450</v>
      </c>
      <c r="E28" s="18" t="n">
        <v>69.0055839</v>
      </c>
      <c r="F28" s="20" t="n">
        <v>2.65116633</v>
      </c>
      <c r="G28" s="18" t="n">
        <v>30.41501758</v>
      </c>
      <c r="H28" s="20" t="n">
        <v>2.6272467</v>
      </c>
      <c r="I28" s="18" t="s">
        <v>349</v>
      </c>
      <c r="J28" s="20" t="s">
        <v>349</v>
      </c>
      <c r="K28" s="18" t="n">
        <v>0</v>
      </c>
      <c r="L28" s="20" t="n">
        <v>0</v>
      </c>
      <c r="M28" s="18" t="n">
        <v>0</v>
      </c>
      <c r="N28" s="20" t="n">
        <v>0</v>
      </c>
      <c r="O28" s="18" t="n">
        <v>0</v>
      </c>
      <c r="P28" s="20" t="n">
        <v>0</v>
      </c>
      <c r="Q28" s="18" t="n">
        <v>0.57939852</v>
      </c>
      <c r="R28" s="20" t="n">
        <v>0.34089291</v>
      </c>
    </row>
    <row r="29" spans="1:18">
      <c r="A29" s="15" t="s">
        <v>371</v>
      </c>
      <c r="B29" s="17" t="n">
        <v>2700</v>
      </c>
      <c r="C29" s="18">
        <f>(2388.0/B29*100)</f>
        <v/>
      </c>
      <c r="D29" s="19" t="n">
        <v>312</v>
      </c>
      <c r="E29" s="18" t="n">
        <v>51.81203175</v>
      </c>
      <c r="F29" s="20" t="n">
        <v>2.63863978</v>
      </c>
      <c r="G29" s="18" t="n">
        <v>46.62365812</v>
      </c>
      <c r="H29" s="20" t="n">
        <v>2.5884736</v>
      </c>
      <c r="I29" s="18" t="s">
        <v>349</v>
      </c>
      <c r="J29" s="20" t="s">
        <v>349</v>
      </c>
      <c r="K29" s="18" t="n">
        <v>0</v>
      </c>
      <c r="L29" s="20" t="n">
        <v>0</v>
      </c>
      <c r="M29" s="18" t="n">
        <v>0</v>
      </c>
      <c r="N29" s="20" t="n">
        <v>0</v>
      </c>
      <c r="O29" s="18" t="n">
        <v>0</v>
      </c>
      <c r="P29" s="20" t="n">
        <v>0</v>
      </c>
      <c r="Q29" s="18" t="n">
        <v>1.56431013</v>
      </c>
      <c r="R29" s="20" t="n">
        <v>0.85213253</v>
      </c>
    </row>
    <row r="30" spans="1:18">
      <c r="A30" s="15" t="s">
        <v>372</v>
      </c>
      <c r="B30" s="17" t="n">
        <v>2257</v>
      </c>
      <c r="C30" s="18">
        <f>(1966.0/B30*100)</f>
        <v/>
      </c>
      <c r="D30" s="19" t="n">
        <v>291</v>
      </c>
      <c r="E30" s="18" t="n">
        <v>47.17732728</v>
      </c>
      <c r="F30" s="20" t="n">
        <v>2.56133552</v>
      </c>
      <c r="G30" s="18" t="n">
        <v>49.22428749</v>
      </c>
      <c r="H30" s="20" t="n">
        <v>2.43632518</v>
      </c>
      <c r="I30" s="18" t="s">
        <v>349</v>
      </c>
      <c r="J30" s="20" t="s">
        <v>349</v>
      </c>
      <c r="K30" s="18" t="n">
        <v>0.32504146</v>
      </c>
      <c r="L30" s="20" t="n">
        <v>0.29006415</v>
      </c>
      <c r="M30" s="18" t="n">
        <v>0</v>
      </c>
      <c r="N30" s="20" t="n">
        <v>0</v>
      </c>
      <c r="O30" s="18" t="n">
        <v>0</v>
      </c>
      <c r="P30" s="20" t="n">
        <v>0</v>
      </c>
      <c r="Q30" s="18" t="n">
        <v>3.27334377</v>
      </c>
      <c r="R30" s="20" t="n">
        <v>1.15178445</v>
      </c>
    </row>
    <row r="31" spans="1:18">
      <c r="A31" s="15" t="s">
        <v>373</v>
      </c>
      <c r="B31" s="17" t="n">
        <v>2706</v>
      </c>
      <c r="C31" s="18">
        <f>(2370.0/B31*100)</f>
        <v/>
      </c>
      <c r="D31" s="19" t="n">
        <v>336</v>
      </c>
      <c r="E31" s="18" t="n">
        <v>40.92717623</v>
      </c>
      <c r="F31" s="20" t="n">
        <v>2.88845045</v>
      </c>
      <c r="G31" s="18" t="n">
        <v>56.24018616</v>
      </c>
      <c r="H31" s="20" t="n">
        <v>2.83675864</v>
      </c>
      <c r="I31" s="18" t="s">
        <v>349</v>
      </c>
      <c r="J31" s="20" t="s">
        <v>349</v>
      </c>
      <c r="K31" s="18" t="n">
        <v>0.64138202</v>
      </c>
      <c r="L31" s="20" t="n">
        <v>0.44481297</v>
      </c>
      <c r="M31" s="18" t="n">
        <v>0</v>
      </c>
      <c r="N31" s="20" t="n">
        <v>0</v>
      </c>
      <c r="O31" s="18" t="n">
        <v>0</v>
      </c>
      <c r="P31" s="20" t="n">
        <v>0</v>
      </c>
      <c r="Q31" s="18" t="n">
        <v>2.19125558</v>
      </c>
      <c r="R31" s="20" t="n">
        <v>0.76742924</v>
      </c>
    </row>
    <row r="32" spans="1:18">
      <c r="A32" s="15" t="s">
        <v>374</v>
      </c>
      <c r="B32" s="17" t="n">
        <v>2209</v>
      </c>
      <c r="C32" s="18">
        <f>(1856.0/B32*100)</f>
        <v/>
      </c>
      <c r="D32" s="19" t="n">
        <v>353</v>
      </c>
      <c r="E32" s="18" t="n">
        <v>47.42552907</v>
      </c>
      <c r="F32" s="20" t="n">
        <v>3.01986487</v>
      </c>
      <c r="G32" s="18" t="n">
        <v>51.58132847</v>
      </c>
      <c r="H32" s="20" t="n">
        <v>3.10218182</v>
      </c>
      <c r="I32" s="18" t="s">
        <v>349</v>
      </c>
      <c r="J32" s="20" t="s">
        <v>349</v>
      </c>
      <c r="K32" s="18" t="n">
        <v>0</v>
      </c>
      <c r="L32" s="20" t="n">
        <v>0</v>
      </c>
      <c r="M32" s="18" t="n">
        <v>0</v>
      </c>
      <c r="N32" s="20" t="n">
        <v>0</v>
      </c>
      <c r="O32" s="18" t="n">
        <v>0</v>
      </c>
      <c r="P32" s="20" t="n">
        <v>0</v>
      </c>
      <c r="Q32" s="18" t="n">
        <v>0.9931424599999999</v>
      </c>
      <c r="R32" s="20" t="n">
        <v>0.49844976</v>
      </c>
    </row>
    <row r="33" spans="1:18">
      <c r="A33" s="15" t="s">
        <v>375</v>
      </c>
      <c r="B33" s="17" t="n">
        <v>3651</v>
      </c>
      <c r="C33" s="18">
        <f>(3207.0/B33*100)</f>
        <v/>
      </c>
      <c r="D33" s="19" t="n">
        <v>444</v>
      </c>
      <c r="E33" s="18" t="n">
        <v>56.91365188</v>
      </c>
      <c r="F33" s="20" t="n">
        <v>2.26058909</v>
      </c>
      <c r="G33" s="18" t="n">
        <v>42.75259011</v>
      </c>
      <c r="H33" s="20" t="n">
        <v>2.27163393</v>
      </c>
      <c r="I33" s="18" t="s">
        <v>349</v>
      </c>
      <c r="J33" s="20" t="s">
        <v>349</v>
      </c>
      <c r="K33" s="18" t="n">
        <v>0</v>
      </c>
      <c r="L33" s="20" t="n">
        <v>0</v>
      </c>
      <c r="M33" s="18" t="n">
        <v>0</v>
      </c>
      <c r="N33" s="20" t="n">
        <v>0</v>
      </c>
      <c r="O33" s="18" t="n">
        <v>0</v>
      </c>
      <c r="P33" s="20" t="n">
        <v>0</v>
      </c>
      <c r="Q33" s="18" t="n">
        <v>0.33375801</v>
      </c>
      <c r="R33" s="20" t="n">
        <v>0.20833311</v>
      </c>
    </row>
    <row r="34" spans="1:18">
      <c r="A34" s="15" t="s">
        <v>376</v>
      </c>
      <c r="B34" s="17" t="n">
        <v>3035</v>
      </c>
      <c r="C34" s="18">
        <f>(2673.0/B34*100)</f>
        <v/>
      </c>
      <c r="D34" s="19" t="n">
        <v>362</v>
      </c>
      <c r="E34" s="18" t="n">
        <v>56.28072583</v>
      </c>
      <c r="F34" s="20" t="n">
        <v>2.59069548</v>
      </c>
      <c r="G34" s="18" t="n">
        <v>43.01410008</v>
      </c>
      <c r="H34" s="20" t="n">
        <v>2.55451562</v>
      </c>
      <c r="I34" s="18" t="s">
        <v>349</v>
      </c>
      <c r="J34" s="20" t="s">
        <v>349</v>
      </c>
      <c r="K34" s="18" t="n">
        <v>0</v>
      </c>
      <c r="L34" s="20" t="n">
        <v>0</v>
      </c>
      <c r="M34" s="18" t="n">
        <v>0</v>
      </c>
      <c r="N34" s="20" t="n">
        <v>0</v>
      </c>
      <c r="O34" s="18" t="n">
        <v>0</v>
      </c>
      <c r="P34" s="20" t="n">
        <v>0</v>
      </c>
      <c r="Q34" s="18" t="n">
        <v>0.70517409</v>
      </c>
      <c r="R34" s="20" t="n">
        <v>0.51912073</v>
      </c>
    </row>
    <row r="35" spans="1:18">
      <c r="A35" s="15" t="s">
        <v>377</v>
      </c>
      <c r="B35" s="17" t="n">
        <v>2901</v>
      </c>
      <c r="C35" s="18">
        <f>(2545.0/B35*100)</f>
        <v/>
      </c>
      <c r="D35" s="19" t="n">
        <v>356</v>
      </c>
      <c r="E35" s="18" t="n">
        <v>37.98060586</v>
      </c>
      <c r="F35" s="20" t="n">
        <v>3.35296066</v>
      </c>
      <c r="G35" s="18" t="n">
        <v>60.80923247</v>
      </c>
      <c r="H35" s="20" t="n">
        <v>3.37613358</v>
      </c>
      <c r="I35" s="18" t="s">
        <v>349</v>
      </c>
      <c r="J35" s="20" t="s">
        <v>349</v>
      </c>
      <c r="K35" s="18" t="n">
        <v>0</v>
      </c>
      <c r="L35" s="20" t="n">
        <v>0</v>
      </c>
      <c r="M35" s="18" t="n">
        <v>0</v>
      </c>
      <c r="N35" s="20" t="n">
        <v>0</v>
      </c>
      <c r="O35" s="18" t="n">
        <v>0</v>
      </c>
      <c r="P35" s="20" t="n">
        <v>0</v>
      </c>
      <c r="Q35" s="18" t="n">
        <v>1.21016166</v>
      </c>
      <c r="R35" s="20" t="n">
        <v>0.74254305</v>
      </c>
    </row>
    <row r="36" spans="1:18">
      <c r="A36" s="15" t="s">
        <v>378</v>
      </c>
      <c r="B36" s="17" t="n">
        <v>3404</v>
      </c>
      <c r="C36" s="18">
        <f>(3000.0/B36*100)</f>
        <v/>
      </c>
      <c r="D36" s="19" t="n">
        <v>404</v>
      </c>
      <c r="E36" s="18" t="n">
        <v>49.82094544</v>
      </c>
      <c r="F36" s="20" t="n">
        <v>2.47340846</v>
      </c>
      <c r="G36" s="18" t="n">
        <v>48.77816997</v>
      </c>
      <c r="H36" s="20" t="n">
        <v>2.45348157</v>
      </c>
      <c r="I36" s="18" t="s">
        <v>349</v>
      </c>
      <c r="J36" s="20" t="s">
        <v>349</v>
      </c>
      <c r="K36" s="18" t="n">
        <v>0.37611293</v>
      </c>
      <c r="L36" s="20" t="n">
        <v>0.38514868</v>
      </c>
      <c r="M36" s="18" t="n">
        <v>0</v>
      </c>
      <c r="N36" s="20" t="n">
        <v>0</v>
      </c>
      <c r="O36" s="18" t="n">
        <v>0</v>
      </c>
      <c r="P36" s="20" t="n">
        <v>0</v>
      </c>
      <c r="Q36" s="18" t="n">
        <v>1.02477166</v>
      </c>
      <c r="R36" s="20" t="n">
        <v>0.65677296</v>
      </c>
    </row>
    <row r="37" spans="1:18">
      <c r="A37" s="15" t="s">
        <v>379</v>
      </c>
      <c r="B37" s="17" t="n">
        <v>2731</v>
      </c>
      <c r="C37" s="18">
        <f>(2416.0/B37*100)</f>
        <v/>
      </c>
      <c r="D37" s="19" t="n">
        <v>315</v>
      </c>
      <c r="E37" s="18" t="n">
        <v>38.67049445</v>
      </c>
      <c r="F37" s="20" t="n">
        <v>2.70280469</v>
      </c>
      <c r="G37" s="18" t="n">
        <v>56.89786856</v>
      </c>
      <c r="H37" s="20" t="n">
        <v>2.93497644</v>
      </c>
      <c r="I37" s="18" t="s">
        <v>349</v>
      </c>
      <c r="J37" s="20" t="s">
        <v>349</v>
      </c>
      <c r="K37" s="18" t="n">
        <v>0.95609151</v>
      </c>
      <c r="L37" s="20" t="n">
        <v>0.54328129</v>
      </c>
      <c r="M37" s="18" t="n">
        <v>0</v>
      </c>
      <c r="N37" s="20" t="n">
        <v>0</v>
      </c>
      <c r="O37" s="18" t="n">
        <v>0</v>
      </c>
      <c r="P37" s="20" t="n">
        <v>0</v>
      </c>
      <c r="Q37" s="18" t="n">
        <v>3.47554548</v>
      </c>
      <c r="R37" s="20" t="n">
        <v>0.99680946</v>
      </c>
    </row>
    <row r="38" spans="1:18">
      <c r="A38" s="15" t="s">
        <v>380</v>
      </c>
      <c r="B38" s="17" t="n">
        <v>2807</v>
      </c>
      <c r="C38" s="18">
        <f>(2341.0/B38*100)</f>
        <v/>
      </c>
      <c r="D38" s="19" t="n">
        <v>466</v>
      </c>
      <c r="E38" s="18" t="n">
        <v>42.56126537</v>
      </c>
      <c r="F38" s="20" t="n">
        <v>2.52351688</v>
      </c>
      <c r="G38" s="18" t="n">
        <v>54.38272837</v>
      </c>
      <c r="H38" s="20" t="n">
        <v>2.54431708</v>
      </c>
      <c r="I38" s="18" t="s">
        <v>349</v>
      </c>
      <c r="J38" s="20" t="s">
        <v>349</v>
      </c>
      <c r="K38" s="18" t="n">
        <v>0.87421015</v>
      </c>
      <c r="L38" s="20" t="n">
        <v>0.44057378</v>
      </c>
      <c r="M38" s="18" t="n">
        <v>0</v>
      </c>
      <c r="N38" s="20" t="n">
        <v>0</v>
      </c>
      <c r="O38" s="18" t="n">
        <v>0</v>
      </c>
      <c r="P38" s="20" t="n">
        <v>0</v>
      </c>
      <c r="Q38" s="18" t="n">
        <v>2.18179611</v>
      </c>
      <c r="R38" s="20" t="n">
        <v>0.73665481</v>
      </c>
    </row>
    <row r="39" spans="1:18">
      <c r="A39" s="15" t="s">
        <v>381</v>
      </c>
      <c r="B39" s="17" t="n">
        <v>2938</v>
      </c>
      <c r="C39" s="18">
        <f>(2578.0/B39*100)</f>
        <v/>
      </c>
      <c r="D39" s="19" t="n">
        <v>360</v>
      </c>
      <c r="E39" s="18" t="n">
        <v>67.48711907000001</v>
      </c>
      <c r="F39" s="20" t="n">
        <v>2.72995023</v>
      </c>
      <c r="G39" s="18" t="n">
        <v>30.03836917</v>
      </c>
      <c r="H39" s="20" t="n">
        <v>2.72722134</v>
      </c>
      <c r="I39" s="18" t="s">
        <v>349</v>
      </c>
      <c r="J39" s="20" t="s">
        <v>349</v>
      </c>
      <c r="K39" s="18" t="n">
        <v>0.59949208</v>
      </c>
      <c r="L39" s="20" t="n">
        <v>0.48145623</v>
      </c>
      <c r="M39" s="18" t="n">
        <v>0</v>
      </c>
      <c r="N39" s="20" t="n">
        <v>0</v>
      </c>
      <c r="O39" s="18" t="n">
        <v>0</v>
      </c>
      <c r="P39" s="20" t="n">
        <v>0</v>
      </c>
      <c r="Q39" s="18" t="n">
        <v>1.87501968</v>
      </c>
      <c r="R39" s="20" t="n">
        <v>0.7049650200000001</v>
      </c>
    </row>
    <row r="40" spans="1:18">
      <c r="A40" s="15" t="s">
        <v>382</v>
      </c>
      <c r="B40" s="17" t="n">
        <v>6922</v>
      </c>
      <c r="C40" s="18">
        <f>(6076.0/B40*100)</f>
        <v/>
      </c>
      <c r="D40" s="19" t="n">
        <v>846</v>
      </c>
      <c r="E40" s="18" t="n">
        <v>45.9242229</v>
      </c>
      <c r="F40" s="20" t="n">
        <v>2.99182533</v>
      </c>
      <c r="G40" s="18" t="n">
        <v>52.78297647</v>
      </c>
      <c r="H40" s="20" t="n">
        <v>3.0393936</v>
      </c>
      <c r="I40" s="18" t="s">
        <v>349</v>
      </c>
      <c r="J40" s="20" t="s">
        <v>349</v>
      </c>
      <c r="K40" s="18" t="n">
        <v>0.02984365</v>
      </c>
      <c r="L40" s="20" t="n">
        <v>0.03589504</v>
      </c>
      <c r="M40" s="18" t="n">
        <v>0</v>
      </c>
      <c r="N40" s="20" t="n">
        <v>0</v>
      </c>
      <c r="O40" s="18" t="n">
        <v>0</v>
      </c>
      <c r="P40" s="20" t="n">
        <v>0</v>
      </c>
      <c r="Q40" s="18" t="n">
        <v>1.26295698</v>
      </c>
      <c r="R40" s="20" t="n">
        <v>0.50017599</v>
      </c>
    </row>
    <row r="41" spans="1:18">
      <c r="A41" s="15" t="s">
        <v>383</v>
      </c>
      <c r="B41" s="17" t="n">
        <v>2854</v>
      </c>
      <c r="C41" s="18">
        <f>(2508.0/B41*100)</f>
        <v/>
      </c>
      <c r="D41" s="19" t="n">
        <v>346</v>
      </c>
      <c r="E41" s="18" t="n">
        <v>47.87655538</v>
      </c>
      <c r="F41" s="20" t="n">
        <v>2.48842542</v>
      </c>
      <c r="G41" s="18" t="n">
        <v>50.82733718</v>
      </c>
      <c r="H41" s="20" t="n">
        <v>2.45793037</v>
      </c>
      <c r="I41" s="18" t="s">
        <v>349</v>
      </c>
      <c r="J41" s="20" t="s">
        <v>349</v>
      </c>
      <c r="K41" s="18" t="n">
        <v>0.331832</v>
      </c>
      <c r="L41" s="20" t="n">
        <v>0.33842879</v>
      </c>
      <c r="M41" s="18" t="n">
        <v>0</v>
      </c>
      <c r="N41" s="20" t="n">
        <v>0</v>
      </c>
      <c r="O41" s="18" t="n">
        <v>0</v>
      </c>
      <c r="P41" s="20" t="n">
        <v>0</v>
      </c>
      <c r="Q41" s="18" t="n">
        <v>0.96427544</v>
      </c>
      <c r="R41" s="20" t="n">
        <v>0.50329385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(10743.0/B46*100)</f>
        <v/>
      </c>
      <c r="D46" s="19" t="n">
        <v>1330</v>
      </c>
      <c r="E46" s="18" t="n">
        <v>66.34392991999999</v>
      </c>
      <c r="F46" s="20" t="n">
        <v>1.94462352</v>
      </c>
      <c r="G46" s="18" t="n">
        <v>28.53462725</v>
      </c>
      <c r="H46" s="20" t="n">
        <v>1.72401606</v>
      </c>
      <c r="I46" s="18" t="s">
        <v>349</v>
      </c>
      <c r="J46" s="20" t="s">
        <v>349</v>
      </c>
      <c r="K46" s="18" t="n">
        <v>1.49300845</v>
      </c>
      <c r="L46" s="20" t="n">
        <v>0.36493097</v>
      </c>
      <c r="M46" s="18" t="n">
        <v>0</v>
      </c>
      <c r="N46" s="20" t="n">
        <v>0</v>
      </c>
      <c r="O46" s="18" t="n">
        <v>0</v>
      </c>
      <c r="P46" s="20" t="n">
        <v>0</v>
      </c>
      <c r="Q46" s="18" t="n">
        <v>3.62843438</v>
      </c>
      <c r="R46" s="20" t="n">
        <v>0.77666669</v>
      </c>
    </row>
    <row r="47" spans="1:18">
      <c r="A47" s="15" t="s">
        <v>389</v>
      </c>
      <c r="B47" s="17" t="n">
        <v>2823</v>
      </c>
      <c r="C47" s="18">
        <f>(2482.0/B47*100)</f>
        <v/>
      </c>
      <c r="D47" s="19" t="n">
        <v>341</v>
      </c>
      <c r="E47" s="18" t="n">
        <v>54.45347891</v>
      </c>
      <c r="F47" s="20" t="n">
        <v>2.68024322</v>
      </c>
      <c r="G47" s="18" t="n">
        <v>43.8443604</v>
      </c>
      <c r="H47" s="20" t="n">
        <v>2.77606263</v>
      </c>
      <c r="I47" s="18" t="s">
        <v>349</v>
      </c>
      <c r="J47" s="20" t="s">
        <v>349</v>
      </c>
      <c r="K47" s="18" t="n">
        <v>0.2744905</v>
      </c>
      <c r="L47" s="20" t="n">
        <v>0.27345287</v>
      </c>
      <c r="M47" s="18" t="n">
        <v>0</v>
      </c>
      <c r="N47" s="20" t="n">
        <v>0</v>
      </c>
      <c r="O47" s="18" t="n">
        <v>0</v>
      </c>
      <c r="P47" s="20" t="n">
        <v>0</v>
      </c>
      <c r="Q47" s="18" t="n">
        <v>1.42767019</v>
      </c>
      <c r="R47" s="20" t="n">
        <v>0.67819532</v>
      </c>
    </row>
    <row r="48" spans="1:18">
      <c r="A48" s="15" t="s">
        <v>390</v>
      </c>
      <c r="B48" s="17" t="n">
        <v>4682</v>
      </c>
      <c r="C48" s="18">
        <f>(4099.0/B48*100)</f>
        <v/>
      </c>
      <c r="D48" s="19" t="n">
        <v>583</v>
      </c>
      <c r="E48" s="18" t="n">
        <v>49.17724007</v>
      </c>
      <c r="F48" s="20" t="n">
        <v>2.14289878</v>
      </c>
      <c r="G48" s="18" t="n">
        <v>50.81798576</v>
      </c>
      <c r="H48" s="20" t="n">
        <v>2.14305828</v>
      </c>
      <c r="I48" s="18" t="s">
        <v>349</v>
      </c>
      <c r="J48" s="20" t="s">
        <v>349</v>
      </c>
      <c r="K48" s="18" t="n">
        <v>0</v>
      </c>
      <c r="L48" s="20" t="n">
        <v>0</v>
      </c>
      <c r="M48" s="18" t="n">
        <v>0</v>
      </c>
      <c r="N48" s="20" t="n">
        <v>0</v>
      </c>
      <c r="O48" s="18" t="n">
        <v>0</v>
      </c>
      <c r="P48" s="20" t="n">
        <v>0</v>
      </c>
      <c r="Q48" s="18" t="n">
        <v>0.00477416</v>
      </c>
      <c r="R48" s="20" t="n">
        <v>0.00280385</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(5402.0/B50*100)</f>
        <v/>
      </c>
      <c r="D50" s="19" t="n">
        <v>756</v>
      </c>
      <c r="E50" s="18" t="n">
        <v>74.86575001</v>
      </c>
      <c r="F50" s="20" t="n">
        <v>1.88576557</v>
      </c>
      <c r="G50" s="18" t="n">
        <v>21.6825324</v>
      </c>
      <c r="H50" s="20" t="n">
        <v>1.98686727</v>
      </c>
      <c r="I50" s="18" t="s">
        <v>349</v>
      </c>
      <c r="J50" s="20" t="s">
        <v>349</v>
      </c>
      <c r="K50" s="18" t="n">
        <v>0.80385138</v>
      </c>
      <c r="L50" s="20" t="n">
        <v>0.38329693</v>
      </c>
      <c r="M50" s="18" t="n">
        <v>0</v>
      </c>
      <c r="N50" s="20" t="n">
        <v>0</v>
      </c>
      <c r="O50" s="18" t="n">
        <v>0</v>
      </c>
      <c r="P50" s="20" t="n">
        <v>0</v>
      </c>
      <c r="Q50" s="18" t="n">
        <v>2.64786621</v>
      </c>
      <c r="R50" s="20" t="n">
        <v>0.7131395699999999</v>
      </c>
    </row>
    <row r="51" spans="1:18">
      <c r="A51" s="15" t="s">
        <v>393</v>
      </c>
      <c r="B51" s="17" t="n">
        <v>3494</v>
      </c>
      <c r="C51" s="18">
        <f>(3098.0/B51*100)</f>
        <v/>
      </c>
      <c r="D51" s="19" t="n">
        <v>396</v>
      </c>
      <c r="E51" s="18" t="n">
        <v>62.76843713</v>
      </c>
      <c r="F51" s="20" t="n">
        <v>2.58962916</v>
      </c>
      <c r="G51" s="18" t="n">
        <v>34.05192806</v>
      </c>
      <c r="H51" s="20" t="n">
        <v>2.61385224</v>
      </c>
      <c r="I51" s="18" t="s">
        <v>349</v>
      </c>
      <c r="J51" s="20" t="s">
        <v>349</v>
      </c>
      <c r="K51" s="18" t="n">
        <v>0.5897727</v>
      </c>
      <c r="L51" s="20" t="n">
        <v>0.56778286</v>
      </c>
      <c r="M51" s="18" t="n">
        <v>0</v>
      </c>
      <c r="N51" s="20" t="n">
        <v>0</v>
      </c>
      <c r="O51" s="18" t="n">
        <v>0</v>
      </c>
      <c r="P51" s="20" t="n">
        <v>0</v>
      </c>
      <c r="Q51" s="18" t="n">
        <v>2.58986211</v>
      </c>
      <c r="R51" s="20" t="n">
        <v>0.89931842</v>
      </c>
    </row>
    <row r="52" spans="1:18">
      <c r="A52" s="15" t="s">
        <v>394</v>
      </c>
      <c r="B52" s="17" t="n">
        <v>3013</v>
      </c>
      <c r="C52" s="18">
        <f>(2645.0/B52*100)</f>
        <v/>
      </c>
      <c r="D52" s="19" t="n">
        <v>368</v>
      </c>
      <c r="E52" s="18" t="n">
        <v>37.3367484</v>
      </c>
      <c r="F52" s="20" t="n">
        <v>2.89251825</v>
      </c>
      <c r="G52" s="18" t="n">
        <v>61.66168911</v>
      </c>
      <c r="H52" s="20" t="n">
        <v>2.93915133</v>
      </c>
      <c r="I52" s="18" t="s">
        <v>349</v>
      </c>
      <c r="J52" s="20" t="s">
        <v>349</v>
      </c>
      <c r="K52" s="18" t="n">
        <v>0</v>
      </c>
      <c r="L52" s="20" t="n">
        <v>0</v>
      </c>
      <c r="M52" s="18" t="n">
        <v>0</v>
      </c>
      <c r="N52" s="20" t="n">
        <v>0</v>
      </c>
      <c r="O52" s="18" t="n">
        <v>0</v>
      </c>
      <c r="P52" s="20" t="n">
        <v>0</v>
      </c>
      <c r="Q52" s="18" t="n">
        <v>1.0015625</v>
      </c>
      <c r="R52" s="20" t="n">
        <v>0.59957061</v>
      </c>
    </row>
    <row r="53" spans="1:18">
      <c r="A53" s="15" t="s">
        <v>395</v>
      </c>
      <c r="B53" s="17" t="n">
        <v>2760</v>
      </c>
      <c r="C53" s="18">
        <f>(2416.0/B53*100)</f>
        <v/>
      </c>
      <c r="D53" s="19" t="n">
        <v>344</v>
      </c>
      <c r="E53" s="18" t="n">
        <v>59.1471081</v>
      </c>
      <c r="F53" s="20" t="n">
        <v>2.96573139</v>
      </c>
      <c r="G53" s="18" t="n">
        <v>39.32297758</v>
      </c>
      <c r="H53" s="20" t="n">
        <v>2.87529783</v>
      </c>
      <c r="I53" s="18" t="s">
        <v>349</v>
      </c>
      <c r="J53" s="20" t="s">
        <v>349</v>
      </c>
      <c r="K53" s="18" t="n">
        <v>0.5800437899999999</v>
      </c>
      <c r="L53" s="20" t="n">
        <v>0.43796369</v>
      </c>
      <c r="M53" s="18" t="n">
        <v>0</v>
      </c>
      <c r="N53" s="20" t="n">
        <v>0</v>
      </c>
      <c r="O53" s="18" t="n">
        <v>0</v>
      </c>
      <c r="P53" s="20" t="n">
        <v>0</v>
      </c>
      <c r="Q53" s="18" t="n">
        <v>0.94987053</v>
      </c>
      <c r="R53" s="20" t="n">
        <v>0.56160865</v>
      </c>
    </row>
    <row r="54" spans="1:18">
      <c r="A54" s="15" t="s">
        <v>396</v>
      </c>
      <c r="B54" s="17" t="n">
        <v>2474</v>
      </c>
      <c r="C54" s="18">
        <f>(2085.0/B54*100)</f>
        <v/>
      </c>
      <c r="D54" s="19" t="n">
        <v>389</v>
      </c>
      <c r="E54" s="18" t="n">
        <v>70.30202334000001</v>
      </c>
      <c r="F54" s="20" t="n">
        <v>2.4587598</v>
      </c>
      <c r="G54" s="18" t="n">
        <v>16.12940771</v>
      </c>
      <c r="H54" s="20" t="n">
        <v>1.97188283</v>
      </c>
      <c r="I54" s="18" t="s">
        <v>349</v>
      </c>
      <c r="J54" s="20" t="s">
        <v>349</v>
      </c>
      <c r="K54" s="18" t="n">
        <v>7.52025675</v>
      </c>
      <c r="L54" s="20" t="n">
        <v>1.61616112</v>
      </c>
      <c r="M54" s="18" t="n">
        <v>0</v>
      </c>
      <c r="N54" s="20" t="n">
        <v>0</v>
      </c>
      <c r="O54" s="18" t="n">
        <v>0</v>
      </c>
      <c r="P54" s="20" t="n">
        <v>0</v>
      </c>
      <c r="Q54" s="18" t="n">
        <v>6.0483122</v>
      </c>
      <c r="R54" s="20" t="n">
        <v>1.52442286</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(2322.0/B56*100)</f>
        <v/>
      </c>
      <c r="D56" s="19" t="n">
        <v>353</v>
      </c>
      <c r="E56" s="18" t="n">
        <v>38.719745</v>
      </c>
      <c r="F56" s="20" t="n">
        <v>2.36493449</v>
      </c>
      <c r="G56" s="18" t="n">
        <v>60.66167541</v>
      </c>
      <c r="H56" s="20" t="n">
        <v>2.28140913</v>
      </c>
      <c r="I56" s="18" t="s">
        <v>349</v>
      </c>
      <c r="J56" s="20" t="s">
        <v>349</v>
      </c>
      <c r="K56" s="18" t="n">
        <v>0</v>
      </c>
      <c r="L56" s="20" t="n">
        <v>0</v>
      </c>
      <c r="M56" s="18" t="n">
        <v>0</v>
      </c>
      <c r="N56" s="20" t="n">
        <v>0</v>
      </c>
      <c r="O56" s="18" t="n">
        <v>0</v>
      </c>
      <c r="P56" s="20" t="n">
        <v>0</v>
      </c>
      <c r="Q56" s="18" t="n">
        <v>0.6185796</v>
      </c>
      <c r="R56" s="20" t="n">
        <v>0.35565115</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(2817.0/B61*100)</f>
        <v/>
      </c>
      <c r="D61" s="19" t="n">
        <v>384</v>
      </c>
      <c r="E61" s="18" t="n">
        <v>50.90709437</v>
      </c>
      <c r="F61" s="20" t="n">
        <v>3.33410749</v>
      </c>
      <c r="G61" s="18" t="n">
        <v>47.48249791</v>
      </c>
      <c r="H61" s="20" t="n">
        <v>3.19702586</v>
      </c>
      <c r="I61" s="18" t="s">
        <v>349</v>
      </c>
      <c r="J61" s="20" t="s">
        <v>349</v>
      </c>
      <c r="K61" s="18" t="n">
        <v>0.58322083</v>
      </c>
      <c r="L61" s="20" t="n">
        <v>0.41459849</v>
      </c>
      <c r="M61" s="18" t="n">
        <v>0</v>
      </c>
      <c r="N61" s="20" t="n">
        <v>0</v>
      </c>
      <c r="O61" s="18" t="n">
        <v>0</v>
      </c>
      <c r="P61" s="20" t="n">
        <v>0</v>
      </c>
      <c r="Q61" s="18" t="n">
        <v>1.02718689</v>
      </c>
      <c r="R61" s="20" t="n">
        <v>0.5165820800000001</v>
      </c>
    </row>
    <row r="62" spans="1:18">
      <c r="A62" s="15" t="s">
        <v>404</v>
      </c>
      <c r="B62" s="17" t="n">
        <v>2230</v>
      </c>
      <c r="C62" s="18">
        <f>(1945.0/B62*100)</f>
        <v/>
      </c>
      <c r="D62" s="19" t="n">
        <v>285</v>
      </c>
      <c r="E62" s="18" t="n">
        <v>36.16778663</v>
      </c>
      <c r="F62" s="20" t="n">
        <v>2.97378788</v>
      </c>
      <c r="G62" s="18" t="n">
        <v>63.83221337</v>
      </c>
      <c r="H62" s="20" t="n">
        <v>2.97378788</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(2433.0/B66*100)</f>
        <v/>
      </c>
      <c r="D66" s="19" t="n">
        <v>338</v>
      </c>
      <c r="E66" s="18" t="n">
        <v>57.00247601</v>
      </c>
      <c r="F66" s="20" t="n">
        <v>2.75994351</v>
      </c>
      <c r="G66" s="18" t="n">
        <v>35.34550742</v>
      </c>
      <c r="H66" s="20" t="n">
        <v>2.70366841</v>
      </c>
      <c r="I66" s="18" t="s">
        <v>349</v>
      </c>
      <c r="J66" s="20" t="s">
        <v>349</v>
      </c>
      <c r="K66" s="18" t="n">
        <v>0.91766943</v>
      </c>
      <c r="L66" s="20" t="n">
        <v>0.53085659</v>
      </c>
      <c r="M66" s="18" t="n">
        <v>0</v>
      </c>
      <c r="N66" s="20" t="n">
        <v>0</v>
      </c>
      <c r="O66" s="18" t="n">
        <v>0</v>
      </c>
      <c r="P66" s="20" t="n">
        <v>0</v>
      </c>
      <c r="Q66" s="18" t="n">
        <v>6.73434714</v>
      </c>
      <c r="R66" s="20" t="n">
        <v>1.39650526</v>
      </c>
    </row>
    <row r="67" spans="1:18">
      <c r="A67" s="15" t="s">
        <v>409</v>
      </c>
      <c r="B67" s="17" t="n">
        <v>3460</v>
      </c>
      <c r="C67" s="18">
        <f>(3055.0/B67*100)</f>
        <v/>
      </c>
      <c r="D67" s="19" t="n">
        <v>405</v>
      </c>
      <c r="E67" s="18" t="n">
        <v>75.59909281</v>
      </c>
      <c r="F67" s="20" t="n">
        <v>1.73779</v>
      </c>
      <c r="G67" s="18" t="n">
        <v>23.03927463</v>
      </c>
      <c r="H67" s="20" t="n">
        <v>1.7447002</v>
      </c>
      <c r="I67" s="18" t="s">
        <v>349</v>
      </c>
      <c r="J67" s="20" t="s">
        <v>349</v>
      </c>
      <c r="K67" s="18" t="n">
        <v>0</v>
      </c>
      <c r="L67" s="20" t="n">
        <v>0</v>
      </c>
      <c r="M67" s="18" t="n">
        <v>0</v>
      </c>
      <c r="N67" s="20" t="n">
        <v>0</v>
      </c>
      <c r="O67" s="18" t="n">
        <v>0</v>
      </c>
      <c r="P67" s="20" t="n">
        <v>0</v>
      </c>
      <c r="Q67" s="18" t="n">
        <v>1.36163256</v>
      </c>
      <c r="R67" s="20" t="n">
        <v>0.5657907</v>
      </c>
    </row>
    <row r="68" spans="1:18">
      <c r="A68" s="15" t="s">
        <v>410</v>
      </c>
      <c r="B68" s="17" t="n">
        <v>6034</v>
      </c>
      <c r="C68" s="18">
        <f>(5022.0/B68*100)</f>
        <v/>
      </c>
      <c r="D68" s="19" t="n">
        <v>1012</v>
      </c>
      <c r="E68" s="18" t="n">
        <v>64.26696819999999</v>
      </c>
      <c r="F68" s="20" t="n">
        <v>1.50455276</v>
      </c>
      <c r="G68" s="18" t="n">
        <v>31.2591316</v>
      </c>
      <c r="H68" s="20" t="n">
        <v>1.36258247</v>
      </c>
      <c r="I68" s="18" t="s">
        <v>349</v>
      </c>
      <c r="J68" s="20" t="s">
        <v>349</v>
      </c>
      <c r="K68" s="18" t="n">
        <v>1.46921641</v>
      </c>
      <c r="L68" s="20" t="n">
        <v>0.3522217</v>
      </c>
      <c r="M68" s="18" t="n">
        <v>0</v>
      </c>
      <c r="N68" s="20" t="n">
        <v>0</v>
      </c>
      <c r="O68" s="18" t="n">
        <v>0</v>
      </c>
      <c r="P68" s="20" t="n">
        <v>0</v>
      </c>
      <c r="Q68" s="18" t="n">
        <v>3.00468379</v>
      </c>
      <c r="R68" s="20" t="n">
        <v>0.52510958</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(2718.0/B70*100)</f>
        <v/>
      </c>
      <c r="D70" s="19" t="n">
        <v>389</v>
      </c>
      <c r="E70" s="18" t="n">
        <v>40.48277214</v>
      </c>
      <c r="F70" s="20" t="n">
        <v>2.79075567</v>
      </c>
      <c r="G70" s="18" t="n">
        <v>56.9817689</v>
      </c>
      <c r="H70" s="20" t="n">
        <v>2.78141534</v>
      </c>
      <c r="I70" s="18" t="s">
        <v>349</v>
      </c>
      <c r="J70" s="20" t="s">
        <v>349</v>
      </c>
      <c r="K70" s="18" t="n">
        <v>0</v>
      </c>
      <c r="L70" s="20" t="n">
        <v>0</v>
      </c>
      <c r="M70" s="18" t="n">
        <v>0</v>
      </c>
      <c r="N70" s="20" t="n">
        <v>0</v>
      </c>
      <c r="O70" s="18" t="n">
        <v>0</v>
      </c>
      <c r="P70" s="20" t="n">
        <v>0</v>
      </c>
      <c r="Q70" s="18" t="n">
        <v>2.53545896</v>
      </c>
      <c r="R70" s="20" t="n">
        <v>0.83526078</v>
      </c>
    </row>
    <row r="71" spans="1:18">
      <c r="A71" s="15" t="s">
        <v>413</v>
      </c>
      <c r="B71" s="17" t="n">
        <v>2973</v>
      </c>
      <c r="C71" s="18">
        <f>(2613.0/B71*100)</f>
        <v/>
      </c>
      <c r="D71" s="19" t="n">
        <v>360</v>
      </c>
      <c r="E71" s="18" t="n">
        <v>45.05689035</v>
      </c>
      <c r="F71" s="20" t="n">
        <v>2.64185802</v>
      </c>
      <c r="G71" s="18" t="n">
        <v>54.35374316</v>
      </c>
      <c r="H71" s="20" t="n">
        <v>2.65125726</v>
      </c>
      <c r="I71" s="18" t="s">
        <v>349</v>
      </c>
      <c r="J71" s="20" t="s">
        <v>349</v>
      </c>
      <c r="K71" s="18" t="n">
        <v>0.32368251</v>
      </c>
      <c r="L71" s="20" t="n">
        <v>0.325956</v>
      </c>
      <c r="M71" s="18" t="n">
        <v>0</v>
      </c>
      <c r="N71" s="20" t="n">
        <v>0</v>
      </c>
      <c r="O71" s="18" t="n">
        <v>0</v>
      </c>
      <c r="P71" s="20" t="n">
        <v>0</v>
      </c>
      <c r="Q71" s="18" t="n">
        <v>0.26568398</v>
      </c>
      <c r="R71" s="20" t="n">
        <v>0.26894251</v>
      </c>
    </row>
    <row r="72" spans="1:18">
      <c r="A72" s="15" t="s">
        <v>414</v>
      </c>
      <c r="B72" s="17" t="n">
        <v>3819</v>
      </c>
      <c r="C72" s="18">
        <f>(3345.0/B72*100)</f>
        <v/>
      </c>
      <c r="D72" s="19" t="n">
        <v>474</v>
      </c>
      <c r="E72" s="18" t="n">
        <v>41.4809358</v>
      </c>
      <c r="F72" s="20" t="n">
        <v>2.11771462</v>
      </c>
      <c r="G72" s="18" t="n">
        <v>57.85881214</v>
      </c>
      <c r="H72" s="20" t="n">
        <v>2.09066017</v>
      </c>
      <c r="I72" s="18" t="s">
        <v>349</v>
      </c>
      <c r="J72" s="20" t="s">
        <v>349</v>
      </c>
      <c r="K72" s="18" t="n">
        <v>0</v>
      </c>
      <c r="L72" s="20" t="n">
        <v>0</v>
      </c>
      <c r="M72" s="18" t="n">
        <v>0</v>
      </c>
      <c r="N72" s="20" t="n">
        <v>0</v>
      </c>
      <c r="O72" s="18" t="n">
        <v>0</v>
      </c>
      <c r="P72" s="20" t="n">
        <v>0</v>
      </c>
      <c r="Q72" s="18" t="n">
        <v>0.66025205</v>
      </c>
      <c r="R72" s="20" t="n">
        <v>0.3601691</v>
      </c>
    </row>
    <row r="73" spans="1:18">
      <c r="A73" s="15" t="s">
        <v>415</v>
      </c>
      <c r="B73" s="17" t="n">
        <v>4652</v>
      </c>
      <c r="C73" s="18">
        <f>(4107.0/B73*100)</f>
        <v/>
      </c>
      <c r="D73" s="19" t="n">
        <v>545</v>
      </c>
      <c r="E73" s="18" t="n">
        <v>60.18817624</v>
      </c>
      <c r="F73" s="20" t="n">
        <v>3.08349716</v>
      </c>
      <c r="G73" s="18" t="n">
        <v>39.19845982</v>
      </c>
      <c r="H73" s="20" t="n">
        <v>2.92741305</v>
      </c>
      <c r="I73" s="18" t="s">
        <v>349</v>
      </c>
      <c r="J73" s="20" t="s">
        <v>349</v>
      </c>
      <c r="K73" s="18" t="n">
        <v>0</v>
      </c>
      <c r="L73" s="20" t="n">
        <v>0</v>
      </c>
      <c r="M73" s="18" t="n">
        <v>0</v>
      </c>
      <c r="N73" s="20" t="n">
        <v>0</v>
      </c>
      <c r="O73" s="18" t="n">
        <v>0</v>
      </c>
      <c r="P73" s="20" t="n">
        <v>0</v>
      </c>
      <c r="Q73" s="18" t="n">
        <v>0.61336395</v>
      </c>
      <c r="R73" s="20" t="n">
        <v>0.38649351</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(2628.0/B75*100)</f>
        <v/>
      </c>
      <c r="D75" s="19" t="n">
        <v>341</v>
      </c>
      <c r="E75" s="18" t="n">
        <v>76.23697795</v>
      </c>
      <c r="F75" s="20" t="n">
        <v>2.30869262</v>
      </c>
      <c r="G75" s="18" t="n">
        <v>20.55512947</v>
      </c>
      <c r="H75" s="20" t="n">
        <v>2.17967447</v>
      </c>
      <c r="I75" s="18" t="s">
        <v>349</v>
      </c>
      <c r="J75" s="20" t="s">
        <v>349</v>
      </c>
      <c r="K75" s="18" t="n">
        <v>1.88669065</v>
      </c>
      <c r="L75" s="20" t="n">
        <v>0.72641716</v>
      </c>
      <c r="M75" s="18" t="n">
        <v>0</v>
      </c>
      <c r="N75" s="20" t="n">
        <v>0</v>
      </c>
      <c r="O75" s="18" t="n">
        <v>0</v>
      </c>
      <c r="P75" s="20" t="n">
        <v>0</v>
      </c>
      <c r="Q75" s="18" t="n">
        <v>1.32120193</v>
      </c>
      <c r="R75" s="20" t="n">
        <v>0.60358729</v>
      </c>
    </row>
    <row r="76" spans="1:18">
      <c r="A76" s="15" t="s">
        <v>418</v>
      </c>
      <c r="B76" s="17" t="n">
        <v>7115</v>
      </c>
      <c r="C76" s="18">
        <f>(6246.0/B76*100)</f>
        <v/>
      </c>
      <c r="D76" s="19" t="n">
        <v>869</v>
      </c>
      <c r="E76" s="18" t="n">
        <v>60.24048805</v>
      </c>
      <c r="F76" s="20" t="n">
        <v>1.86095694</v>
      </c>
      <c r="G76" s="18" t="n">
        <v>38.31531262</v>
      </c>
      <c r="H76" s="20" t="n">
        <v>1.86964677</v>
      </c>
      <c r="I76" s="18" t="s">
        <v>349</v>
      </c>
      <c r="J76" s="20" t="s">
        <v>349</v>
      </c>
      <c r="K76" s="18" t="n">
        <v>0.2136594</v>
      </c>
      <c r="L76" s="20" t="n">
        <v>0.15423138</v>
      </c>
      <c r="M76" s="18" t="n">
        <v>0</v>
      </c>
      <c r="N76" s="20" t="n">
        <v>0</v>
      </c>
      <c r="O76" s="18" t="n">
        <v>0</v>
      </c>
      <c r="P76" s="20" t="n">
        <v>0</v>
      </c>
      <c r="Q76" s="18" t="n">
        <v>1.23053993</v>
      </c>
      <c r="R76" s="20" t="n">
        <v>0.43237465</v>
      </c>
    </row>
    <row r="77" spans="1:18">
      <c r="A77" s="15" t="s">
        <v>419</v>
      </c>
      <c r="B77" s="17" t="n">
        <v>3154</v>
      </c>
      <c r="C77" s="18">
        <f>(2786.0/B77*100)</f>
        <v/>
      </c>
      <c r="D77" s="19" t="n">
        <v>368</v>
      </c>
      <c r="E77" s="18" t="n">
        <v>58.98558418</v>
      </c>
      <c r="F77" s="20" t="n">
        <v>3.00948357</v>
      </c>
      <c r="G77" s="18" t="n">
        <v>34.38849453</v>
      </c>
      <c r="H77" s="20" t="n">
        <v>2.74167322</v>
      </c>
      <c r="I77" s="18" t="s">
        <v>349</v>
      </c>
      <c r="J77" s="20" t="s">
        <v>349</v>
      </c>
      <c r="K77" s="18" t="n">
        <v>0.28557708</v>
      </c>
      <c r="L77" s="20" t="n">
        <v>0.28744528</v>
      </c>
      <c r="M77" s="18" t="n">
        <v>0</v>
      </c>
      <c r="N77" s="20" t="n">
        <v>0</v>
      </c>
      <c r="O77" s="18" t="n">
        <v>0</v>
      </c>
      <c r="P77" s="20" t="n">
        <v>0</v>
      </c>
      <c r="Q77" s="18" t="n">
        <v>6.34034421</v>
      </c>
      <c r="R77" s="20" t="n">
        <v>1.31667551</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(4138.0/B81*100)</f>
        <v/>
      </c>
      <c r="D81" s="19" t="n">
        <v>560</v>
      </c>
      <c r="E81" s="18" t="n">
        <v>55.9036691</v>
      </c>
      <c r="F81" s="20" t="n">
        <v>2.45490531</v>
      </c>
      <c r="G81" s="18" t="n">
        <v>43.83785326</v>
      </c>
      <c r="H81" s="20" t="n">
        <v>2.45922081</v>
      </c>
      <c r="I81" s="18" t="s">
        <v>349</v>
      </c>
      <c r="J81" s="20" t="s">
        <v>349</v>
      </c>
      <c r="K81" s="18" t="n">
        <v>0</v>
      </c>
      <c r="L81" s="20" t="n">
        <v>0</v>
      </c>
      <c r="M81" s="18" t="n">
        <v>0</v>
      </c>
      <c r="N81" s="20" t="n">
        <v>0</v>
      </c>
      <c r="O81" s="18" t="n">
        <v>0</v>
      </c>
      <c r="P81" s="20" t="n">
        <v>0</v>
      </c>
      <c r="Q81" s="18" t="n">
        <v>0.25847763</v>
      </c>
      <c r="R81" s="20" t="n">
        <v>0.25699337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(6249.0/B7*100)</f>
        <v/>
      </c>
      <c r="D7" s="19" t="n">
        <v>914</v>
      </c>
      <c r="E7" s="18" t="n">
        <v>44.20850339</v>
      </c>
      <c r="F7" s="20" t="n">
        <v>1.82054089</v>
      </c>
      <c r="G7" s="18" t="n">
        <v>50.16375713</v>
      </c>
      <c r="H7" s="20" t="n">
        <v>1.65545371</v>
      </c>
      <c r="I7" s="18" t="s">
        <v>349</v>
      </c>
      <c r="J7" s="20" t="s">
        <v>349</v>
      </c>
      <c r="K7" s="18" t="n">
        <v>0.13569806</v>
      </c>
      <c r="L7" s="20" t="n">
        <v>0.08617297</v>
      </c>
      <c r="M7" s="18" t="n">
        <v>0</v>
      </c>
      <c r="N7" s="20" t="n">
        <v>0</v>
      </c>
      <c r="O7" s="18" t="n">
        <v>0</v>
      </c>
      <c r="P7" s="20" t="n">
        <v>0</v>
      </c>
      <c r="Q7" s="18" t="n">
        <v>5.49204142</v>
      </c>
      <c r="R7" s="20" t="n">
        <v>0.7883928</v>
      </c>
    </row>
    <row r="8" spans="1:18">
      <c r="A8" s="15" t="s">
        <v>350</v>
      </c>
      <c r="B8" s="17" t="n">
        <v>3443</v>
      </c>
      <c r="C8" s="18">
        <f>(3031.0/B8*100)</f>
        <v/>
      </c>
      <c r="D8" s="19" t="n">
        <v>412</v>
      </c>
      <c r="E8" s="18" t="n">
        <v>47.61888904</v>
      </c>
      <c r="F8" s="20" t="n">
        <v>3.30655679</v>
      </c>
      <c r="G8" s="18" t="n">
        <v>41.55251203</v>
      </c>
      <c r="H8" s="20" t="n">
        <v>3.00228661</v>
      </c>
      <c r="I8" s="18" t="s">
        <v>349</v>
      </c>
      <c r="J8" s="20" t="s">
        <v>349</v>
      </c>
      <c r="K8" s="18" t="n">
        <v>0.12491712</v>
      </c>
      <c r="L8" s="20" t="n">
        <v>0.12772073</v>
      </c>
      <c r="M8" s="18" t="n">
        <v>0</v>
      </c>
      <c r="N8" s="20" t="n">
        <v>0</v>
      </c>
      <c r="O8" s="18" t="n">
        <v>0</v>
      </c>
      <c r="P8" s="20" t="n">
        <v>0</v>
      </c>
      <c r="Q8" s="18" t="n">
        <v>10.7036818</v>
      </c>
      <c r="R8" s="20" t="n">
        <v>1.54277292</v>
      </c>
    </row>
    <row r="9" spans="1:18">
      <c r="A9" s="15" t="s">
        <v>351</v>
      </c>
      <c r="B9" s="17" t="n">
        <v>4752</v>
      </c>
      <c r="C9" s="18">
        <f>(4172.0/B9*100)</f>
        <v/>
      </c>
      <c r="D9" s="19" t="n">
        <v>580</v>
      </c>
      <c r="E9" s="18" t="n">
        <v>41.42628108</v>
      </c>
      <c r="F9" s="20" t="n">
        <v>2.17599489</v>
      </c>
      <c r="G9" s="18" t="n">
        <v>50.83990261</v>
      </c>
      <c r="H9" s="20" t="n">
        <v>2.27277999</v>
      </c>
      <c r="I9" s="18" t="s">
        <v>349</v>
      </c>
      <c r="J9" s="20" t="s">
        <v>349</v>
      </c>
      <c r="K9" s="18" t="n">
        <v>0.22066202</v>
      </c>
      <c r="L9" s="20" t="n">
        <v>0.22115702</v>
      </c>
      <c r="M9" s="18" t="n">
        <v>0</v>
      </c>
      <c r="N9" s="20" t="n">
        <v>0</v>
      </c>
      <c r="O9" s="18" t="n">
        <v>0</v>
      </c>
      <c r="P9" s="20" t="n">
        <v>0</v>
      </c>
      <c r="Q9" s="18" t="n">
        <v>7.51315428</v>
      </c>
      <c r="R9" s="20" t="n">
        <v>1.05280217</v>
      </c>
    </row>
    <row r="10" spans="1:18">
      <c r="A10" s="15" t="s">
        <v>352</v>
      </c>
      <c r="B10" s="17" t="n">
        <v>10022</v>
      </c>
      <c r="C10" s="18">
        <f>(8827.0/B10*100)</f>
        <v/>
      </c>
      <c r="D10" s="19" t="n">
        <v>1195</v>
      </c>
      <c r="E10" s="18" t="n">
        <v>42.00851553</v>
      </c>
      <c r="F10" s="20" t="n">
        <v>1.97555233</v>
      </c>
      <c r="G10" s="18" t="n">
        <v>56.12818587</v>
      </c>
      <c r="H10" s="20" t="n">
        <v>2.03572465</v>
      </c>
      <c r="I10" s="18" t="s">
        <v>349</v>
      </c>
      <c r="J10" s="20" t="s">
        <v>349</v>
      </c>
      <c r="K10" s="18" t="n">
        <v>0.10163529</v>
      </c>
      <c r="L10" s="20" t="n">
        <v>0.05361257</v>
      </c>
      <c r="M10" s="18" t="n">
        <v>0</v>
      </c>
      <c r="N10" s="20" t="n">
        <v>0</v>
      </c>
      <c r="O10" s="18" t="n">
        <v>0</v>
      </c>
      <c r="P10" s="20" t="n">
        <v>0</v>
      </c>
      <c r="Q10" s="18" t="n">
        <v>1.76166331</v>
      </c>
      <c r="R10" s="20" t="n">
        <v>0.52082165</v>
      </c>
    </row>
    <row r="11" spans="1:18">
      <c r="A11" s="15" t="s">
        <v>353</v>
      </c>
      <c r="B11" s="17" t="n">
        <v>3500</v>
      </c>
      <c r="C11" s="18">
        <f>(3082.0/B11*100)</f>
        <v/>
      </c>
      <c r="D11" s="19" t="n">
        <v>418</v>
      </c>
      <c r="E11" s="18" t="n">
        <v>66.1704756</v>
      </c>
      <c r="F11" s="20" t="n">
        <v>2.80315247</v>
      </c>
      <c r="G11" s="18" t="n">
        <v>23.2095987</v>
      </c>
      <c r="H11" s="20" t="n">
        <v>2.60158366</v>
      </c>
      <c r="I11" s="18" t="s">
        <v>349</v>
      </c>
      <c r="J11" s="20" t="s">
        <v>349</v>
      </c>
      <c r="K11" s="18" t="n">
        <v>1.00436276</v>
      </c>
      <c r="L11" s="20" t="n">
        <v>0.32306139</v>
      </c>
      <c r="M11" s="18" t="n">
        <v>0</v>
      </c>
      <c r="N11" s="20" t="n">
        <v>0</v>
      </c>
      <c r="O11" s="18" t="n">
        <v>0</v>
      </c>
      <c r="P11" s="20" t="n">
        <v>0</v>
      </c>
      <c r="Q11" s="18" t="n">
        <v>9.615562949999999</v>
      </c>
      <c r="R11" s="20" t="n">
        <v>1.63233706</v>
      </c>
    </row>
    <row r="12" spans="1:18">
      <c r="A12" s="15" t="s">
        <v>354</v>
      </c>
      <c r="B12" s="17" t="n">
        <v>3422</v>
      </c>
      <c r="C12" s="18">
        <f>(3004.0/B12*100)</f>
        <v/>
      </c>
      <c r="D12" s="19" t="n">
        <v>418</v>
      </c>
      <c r="E12" s="18" t="n">
        <v>41.48522171</v>
      </c>
      <c r="F12" s="20" t="n">
        <v>2.68301272</v>
      </c>
      <c r="G12" s="18" t="n">
        <v>47.86357203</v>
      </c>
      <c r="H12" s="20" t="n">
        <v>2.53200739</v>
      </c>
      <c r="I12" s="18" t="s">
        <v>349</v>
      </c>
      <c r="J12" s="20" t="s">
        <v>349</v>
      </c>
      <c r="K12" s="18" t="n">
        <v>0.24526158</v>
      </c>
      <c r="L12" s="20" t="n">
        <v>0.2601244</v>
      </c>
      <c r="M12" s="18" t="n">
        <v>0</v>
      </c>
      <c r="N12" s="20" t="n">
        <v>0</v>
      </c>
      <c r="O12" s="18" t="n">
        <v>0</v>
      </c>
      <c r="P12" s="20" t="n">
        <v>0</v>
      </c>
      <c r="Q12" s="18" t="n">
        <v>10.40594469</v>
      </c>
      <c r="R12" s="20" t="n">
        <v>1.73870161</v>
      </c>
    </row>
    <row r="13" spans="1:18">
      <c r="A13" s="15" t="s">
        <v>355</v>
      </c>
      <c r="B13" s="17" t="n">
        <v>3602</v>
      </c>
      <c r="C13" s="18">
        <f>(3200.0/B13*100)</f>
        <v/>
      </c>
      <c r="D13" s="19" t="n">
        <v>402</v>
      </c>
      <c r="E13" s="18" t="n">
        <v>36.84686348</v>
      </c>
      <c r="F13" s="20" t="n">
        <v>2.60763759</v>
      </c>
      <c r="G13" s="18" t="n">
        <v>57.0232411</v>
      </c>
      <c r="H13" s="20" t="n">
        <v>2.82184717</v>
      </c>
      <c r="I13" s="18" t="s">
        <v>349</v>
      </c>
      <c r="J13" s="20" t="s">
        <v>349</v>
      </c>
      <c r="K13" s="18" t="n">
        <v>0.5364734</v>
      </c>
      <c r="L13" s="20" t="n">
        <v>0.52875808</v>
      </c>
      <c r="M13" s="18" t="n">
        <v>0</v>
      </c>
      <c r="N13" s="20" t="n">
        <v>0</v>
      </c>
      <c r="O13" s="18" t="n">
        <v>0</v>
      </c>
      <c r="P13" s="20" t="n">
        <v>0</v>
      </c>
      <c r="Q13" s="18" t="n">
        <v>5.59342201</v>
      </c>
      <c r="R13" s="20" t="n">
        <v>1.50794503</v>
      </c>
    </row>
    <row r="14" spans="1:18">
      <c r="A14" s="15" t="s">
        <v>356</v>
      </c>
      <c r="B14" s="17" t="n">
        <v>2788</v>
      </c>
      <c r="C14" s="18">
        <f>(2433.0/B14*100)</f>
        <v/>
      </c>
      <c r="D14" s="19" t="n">
        <v>355</v>
      </c>
      <c r="E14" s="18" t="n">
        <v>38.82160602</v>
      </c>
      <c r="F14" s="20" t="n">
        <v>2.74568833</v>
      </c>
      <c r="G14" s="18" t="n">
        <v>57.61408882</v>
      </c>
      <c r="H14" s="20" t="n">
        <v>2.78085474</v>
      </c>
      <c r="I14" s="18" t="s">
        <v>349</v>
      </c>
      <c r="J14" s="20" t="s">
        <v>349</v>
      </c>
      <c r="K14" s="18" t="n">
        <v>0</v>
      </c>
      <c r="L14" s="20" t="n">
        <v>0</v>
      </c>
      <c r="M14" s="18" t="n">
        <v>0</v>
      </c>
      <c r="N14" s="20" t="n">
        <v>0</v>
      </c>
      <c r="O14" s="18" t="n">
        <v>0</v>
      </c>
      <c r="P14" s="20" t="n">
        <v>0</v>
      </c>
      <c r="Q14" s="18" t="n">
        <v>3.56430516</v>
      </c>
      <c r="R14" s="20" t="n">
        <v>1.13525802</v>
      </c>
    </row>
    <row r="15" spans="1:18">
      <c r="A15" s="15" t="s">
        <v>357</v>
      </c>
      <c r="B15" s="17" t="n">
        <v>2863</v>
      </c>
      <c r="C15" s="18">
        <f>(2496.0/B15*100)</f>
        <v/>
      </c>
      <c r="D15" s="19" t="n">
        <v>367</v>
      </c>
      <c r="E15" s="18" t="n">
        <v>29.78036799</v>
      </c>
      <c r="F15" s="20" t="n">
        <v>2.89526136</v>
      </c>
      <c r="G15" s="18" t="n">
        <v>65.08341603</v>
      </c>
      <c r="H15" s="20" t="n">
        <v>3.04827385</v>
      </c>
      <c r="I15" s="18" t="s">
        <v>349</v>
      </c>
      <c r="J15" s="20" t="s">
        <v>349</v>
      </c>
      <c r="K15" s="18" t="n">
        <v>0</v>
      </c>
      <c r="L15" s="20" t="n">
        <v>0</v>
      </c>
      <c r="M15" s="18" t="n">
        <v>0</v>
      </c>
      <c r="N15" s="20" t="n">
        <v>0</v>
      </c>
      <c r="O15" s="18" t="n">
        <v>0</v>
      </c>
      <c r="P15" s="20" t="n">
        <v>0</v>
      </c>
      <c r="Q15" s="18" t="n">
        <v>5.13621597</v>
      </c>
      <c r="R15" s="20" t="n">
        <v>1.10812173</v>
      </c>
    </row>
    <row r="16" spans="1:18">
      <c r="A16" s="15" t="s">
        <v>358</v>
      </c>
      <c r="B16" s="17" t="n">
        <v>3111</v>
      </c>
      <c r="C16" s="18">
        <f>(2731.0/B16*100)</f>
        <v/>
      </c>
      <c r="D16" s="19" t="n">
        <v>380</v>
      </c>
      <c r="E16" s="18" t="n">
        <v>40.70559854</v>
      </c>
      <c r="F16" s="20" t="n">
        <v>2.6449124</v>
      </c>
      <c r="G16" s="18" t="n">
        <v>53.60323033</v>
      </c>
      <c r="H16" s="20" t="n">
        <v>2.39570954</v>
      </c>
      <c r="I16" s="18" t="s">
        <v>349</v>
      </c>
      <c r="J16" s="20" t="s">
        <v>349</v>
      </c>
      <c r="K16" s="18" t="n">
        <v>1.23680427</v>
      </c>
      <c r="L16" s="20" t="n">
        <v>0.5285643799999999</v>
      </c>
      <c r="M16" s="18" t="n">
        <v>0</v>
      </c>
      <c r="N16" s="20" t="n">
        <v>0</v>
      </c>
      <c r="O16" s="18" t="n">
        <v>0</v>
      </c>
      <c r="P16" s="20" t="n">
        <v>0</v>
      </c>
      <c r="Q16" s="18" t="n">
        <v>4.45436687</v>
      </c>
      <c r="R16" s="20" t="n">
        <v>1.20600018</v>
      </c>
    </row>
    <row r="17" spans="1:18">
      <c r="A17" s="15" t="s">
        <v>359</v>
      </c>
      <c r="B17" s="17" t="n">
        <v>3197</v>
      </c>
      <c r="C17" s="18">
        <f>(2813.0/B17*100)</f>
        <v/>
      </c>
      <c r="D17" s="19" t="n">
        <v>384</v>
      </c>
      <c r="E17" s="18" t="n">
        <v>44.43703505</v>
      </c>
      <c r="F17" s="20" t="n">
        <v>2.73810375</v>
      </c>
      <c r="G17" s="18" t="n">
        <v>48.94807814</v>
      </c>
      <c r="H17" s="20" t="n">
        <v>2.67005171</v>
      </c>
      <c r="I17" s="18" t="s">
        <v>349</v>
      </c>
      <c r="J17" s="20" t="s">
        <v>349</v>
      </c>
      <c r="K17" s="18" t="n">
        <v>0.5195550799999999</v>
      </c>
      <c r="L17" s="20" t="n">
        <v>0.36853142</v>
      </c>
      <c r="M17" s="18" t="n">
        <v>0</v>
      </c>
      <c r="N17" s="20" t="n">
        <v>0</v>
      </c>
      <c r="O17" s="18" t="n">
        <v>0</v>
      </c>
      <c r="P17" s="20" t="n">
        <v>0</v>
      </c>
      <c r="Q17" s="18" t="n">
        <v>6.09533172</v>
      </c>
      <c r="R17" s="20" t="n">
        <v>1.17447353</v>
      </c>
    </row>
    <row r="18" spans="1:18">
      <c r="A18" s="15" t="s">
        <v>360</v>
      </c>
      <c r="B18" s="17" t="n">
        <v>2706</v>
      </c>
      <c r="C18" s="18">
        <f>(2390.0/B18*100)</f>
        <v/>
      </c>
      <c r="D18" s="19" t="n">
        <v>316</v>
      </c>
      <c r="E18" s="18" t="n">
        <v>59.14381638</v>
      </c>
      <c r="F18" s="20" t="n">
        <v>3.25760486</v>
      </c>
      <c r="G18" s="18" t="n">
        <v>30.5253091</v>
      </c>
      <c r="H18" s="20" t="n">
        <v>3.20926626</v>
      </c>
      <c r="I18" s="18" t="s">
        <v>349</v>
      </c>
      <c r="J18" s="20" t="s">
        <v>349</v>
      </c>
      <c r="K18" s="18" t="n">
        <v>1.10739166</v>
      </c>
      <c r="L18" s="20" t="n">
        <v>0.52045882</v>
      </c>
      <c r="M18" s="18" t="n">
        <v>0</v>
      </c>
      <c r="N18" s="20" t="n">
        <v>0</v>
      </c>
      <c r="O18" s="18" t="n">
        <v>0</v>
      </c>
      <c r="P18" s="20" t="n">
        <v>0</v>
      </c>
      <c r="Q18" s="18" t="n">
        <v>9.22348285</v>
      </c>
      <c r="R18" s="20" t="n">
        <v>2.19174379</v>
      </c>
    </row>
    <row r="19" spans="1:18">
      <c r="A19" s="15" t="s">
        <v>361</v>
      </c>
      <c r="B19" s="17" t="n">
        <v>2850</v>
      </c>
      <c r="C19" s="18">
        <f>(2491.0/B19*100)</f>
        <v/>
      </c>
      <c r="D19" s="19" t="n">
        <v>359</v>
      </c>
      <c r="E19" s="18" t="n">
        <v>40.29524748</v>
      </c>
      <c r="F19" s="20" t="n">
        <v>2.45370984</v>
      </c>
      <c r="G19" s="18" t="n">
        <v>50.42667607</v>
      </c>
      <c r="H19" s="20" t="n">
        <v>2.6352081</v>
      </c>
      <c r="I19" s="18" t="s">
        <v>349</v>
      </c>
      <c r="J19" s="20" t="s">
        <v>349</v>
      </c>
      <c r="K19" s="18" t="n">
        <v>0.48998181</v>
      </c>
      <c r="L19" s="20" t="n">
        <v>0.30286032</v>
      </c>
      <c r="M19" s="18" t="n">
        <v>0</v>
      </c>
      <c r="N19" s="20" t="n">
        <v>0</v>
      </c>
      <c r="O19" s="18" t="n">
        <v>0</v>
      </c>
      <c r="P19" s="20" t="n">
        <v>0</v>
      </c>
      <c r="Q19" s="18" t="n">
        <v>8.78809465</v>
      </c>
      <c r="R19" s="20" t="n">
        <v>2.00287716</v>
      </c>
    </row>
    <row r="20" spans="1:18">
      <c r="A20" s="15" t="s">
        <v>362</v>
      </c>
      <c r="B20" s="17" t="n">
        <v>1741</v>
      </c>
      <c r="C20" s="18">
        <f>(1522.0/B20*100)</f>
        <v/>
      </c>
      <c r="D20" s="19" t="n">
        <v>219</v>
      </c>
      <c r="E20" s="18" t="n">
        <v>46.25053246</v>
      </c>
      <c r="F20" s="20" t="n">
        <v>3.26850912</v>
      </c>
      <c r="G20" s="18" t="n">
        <v>44.06789868</v>
      </c>
      <c r="H20" s="20" t="n">
        <v>3.33435226</v>
      </c>
      <c r="I20" s="18" t="s">
        <v>349</v>
      </c>
      <c r="J20" s="20" t="s">
        <v>349</v>
      </c>
      <c r="K20" s="18" t="n">
        <v>0</v>
      </c>
      <c r="L20" s="20" t="n">
        <v>0</v>
      </c>
      <c r="M20" s="18" t="n">
        <v>0</v>
      </c>
      <c r="N20" s="20" t="n">
        <v>0</v>
      </c>
      <c r="O20" s="18" t="n">
        <v>0</v>
      </c>
      <c r="P20" s="20" t="n">
        <v>0</v>
      </c>
      <c r="Q20" s="18" t="n">
        <v>9.68156887</v>
      </c>
      <c r="R20" s="20" t="n">
        <v>2.07848408</v>
      </c>
    </row>
    <row r="21" spans="1:18">
      <c r="A21" s="15" t="s">
        <v>363</v>
      </c>
      <c r="B21" s="17" t="n">
        <v>2833</v>
      </c>
      <c r="C21" s="18">
        <f>(2375.0/B21*100)</f>
        <v/>
      </c>
      <c r="D21" s="19" t="n">
        <v>458</v>
      </c>
      <c r="E21" s="18" t="n">
        <v>44.08310486</v>
      </c>
      <c r="F21" s="20" t="n">
        <v>2.73864478</v>
      </c>
      <c r="G21" s="18" t="n">
        <v>53.19647405</v>
      </c>
      <c r="H21" s="20" t="n">
        <v>2.73470068</v>
      </c>
      <c r="I21" s="18" t="s">
        <v>349</v>
      </c>
      <c r="J21" s="20" t="s">
        <v>349</v>
      </c>
      <c r="K21" s="18" t="n">
        <v>0.37273303</v>
      </c>
      <c r="L21" s="20" t="n">
        <v>0.25954604</v>
      </c>
      <c r="M21" s="18" t="n">
        <v>0</v>
      </c>
      <c r="N21" s="20" t="n">
        <v>0</v>
      </c>
      <c r="O21" s="18" t="n">
        <v>0</v>
      </c>
      <c r="P21" s="20" t="n">
        <v>0</v>
      </c>
      <c r="Q21" s="18" t="n">
        <v>2.34768807</v>
      </c>
      <c r="R21" s="20" t="n">
        <v>0.7466039</v>
      </c>
    </row>
    <row r="22" spans="1:18">
      <c r="A22" s="15" t="s">
        <v>364</v>
      </c>
      <c r="B22" s="17" t="n">
        <v>3667</v>
      </c>
      <c r="C22" s="18">
        <f>(3206.0/B22*100)</f>
        <v/>
      </c>
      <c r="D22" s="19" t="n">
        <v>461</v>
      </c>
      <c r="E22" s="18" t="n">
        <v>46.5322027</v>
      </c>
      <c r="F22" s="20" t="n">
        <v>2.01375474</v>
      </c>
      <c r="G22" s="18" t="n">
        <v>46.51355152</v>
      </c>
      <c r="H22" s="20" t="n">
        <v>2.0579969</v>
      </c>
      <c r="I22" s="18" t="s">
        <v>349</v>
      </c>
      <c r="J22" s="20" t="s">
        <v>349</v>
      </c>
      <c r="K22" s="18" t="n">
        <v>0.80349537</v>
      </c>
      <c r="L22" s="20" t="n">
        <v>0.40465953</v>
      </c>
      <c r="M22" s="18" t="n">
        <v>0</v>
      </c>
      <c r="N22" s="20" t="n">
        <v>0</v>
      </c>
      <c r="O22" s="18" t="n">
        <v>0</v>
      </c>
      <c r="P22" s="20" t="n">
        <v>0</v>
      </c>
      <c r="Q22" s="18" t="n">
        <v>6.15075041</v>
      </c>
      <c r="R22" s="20" t="n">
        <v>1.11379594</v>
      </c>
    </row>
    <row r="23" spans="1:18">
      <c r="A23" s="15" t="s">
        <v>365</v>
      </c>
      <c r="B23" s="17" t="n">
        <v>5792</v>
      </c>
      <c r="C23" s="18">
        <f>(5053.0/B23*100)</f>
        <v/>
      </c>
      <c r="D23" s="19" t="n">
        <v>739</v>
      </c>
      <c r="E23" s="18" t="n">
        <v>33.78237541</v>
      </c>
      <c r="F23" s="20" t="n">
        <v>2.55798557</v>
      </c>
      <c r="G23" s="18" t="n">
        <v>61.46264507</v>
      </c>
      <c r="H23" s="20" t="n">
        <v>2.64047339</v>
      </c>
      <c r="I23" s="18" t="s">
        <v>349</v>
      </c>
      <c r="J23" s="20" t="s">
        <v>349</v>
      </c>
      <c r="K23" s="18" t="n">
        <v>0.92341801</v>
      </c>
      <c r="L23" s="20" t="n">
        <v>0.56396552</v>
      </c>
      <c r="M23" s="18" t="n">
        <v>0</v>
      </c>
      <c r="N23" s="20" t="n">
        <v>0</v>
      </c>
      <c r="O23" s="18" t="n">
        <v>0</v>
      </c>
      <c r="P23" s="20" t="n">
        <v>0</v>
      </c>
      <c r="Q23" s="18" t="n">
        <v>3.83156151</v>
      </c>
      <c r="R23" s="20" t="n">
        <v>0.91009006</v>
      </c>
    </row>
    <row r="24" spans="1:18">
      <c r="A24" s="15" t="s">
        <v>366</v>
      </c>
      <c r="B24" s="17" t="n">
        <v>3309</v>
      </c>
      <c r="C24" s="18">
        <f>(2883.0/B24*100)</f>
        <v/>
      </c>
      <c r="D24" s="19" t="n">
        <v>426</v>
      </c>
      <c r="E24" s="18" t="n">
        <v>35.59242214</v>
      </c>
      <c r="F24" s="20" t="n">
        <v>1.98211624</v>
      </c>
      <c r="G24" s="18" t="n">
        <v>60.16568596</v>
      </c>
      <c r="H24" s="20" t="n">
        <v>2.11305609</v>
      </c>
      <c r="I24" s="18" t="s">
        <v>349</v>
      </c>
      <c r="J24" s="20" t="s">
        <v>349</v>
      </c>
      <c r="K24" s="18" t="n">
        <v>0.21364264</v>
      </c>
      <c r="L24" s="20" t="n">
        <v>0.2130343</v>
      </c>
      <c r="M24" s="18" t="n">
        <v>0</v>
      </c>
      <c r="N24" s="20" t="n">
        <v>0</v>
      </c>
      <c r="O24" s="18" t="n">
        <v>0</v>
      </c>
      <c r="P24" s="20" t="n">
        <v>0</v>
      </c>
      <c r="Q24" s="18" t="n">
        <v>4.02824926</v>
      </c>
      <c r="R24" s="20" t="n">
        <v>0.9038040000000001</v>
      </c>
    </row>
    <row r="25" spans="1:18">
      <c r="A25" s="15" t="s">
        <v>367</v>
      </c>
      <c r="B25" s="17" t="n">
        <v>2669</v>
      </c>
      <c r="C25" s="18">
        <f>(2340.0/B25*100)</f>
        <v/>
      </c>
      <c r="D25" s="19" t="n">
        <v>329</v>
      </c>
      <c r="E25" s="18" t="n">
        <v>35.69469537</v>
      </c>
      <c r="F25" s="20" t="n">
        <v>2.6853599</v>
      </c>
      <c r="G25" s="18" t="n">
        <v>62.46838719</v>
      </c>
      <c r="H25" s="20" t="n">
        <v>2.72717114</v>
      </c>
      <c r="I25" s="18" t="s">
        <v>349</v>
      </c>
      <c r="J25" s="20" t="s">
        <v>349</v>
      </c>
      <c r="K25" s="18" t="n">
        <v>0</v>
      </c>
      <c r="L25" s="20" t="n">
        <v>0</v>
      </c>
      <c r="M25" s="18" t="n">
        <v>0</v>
      </c>
      <c r="N25" s="20" t="n">
        <v>0</v>
      </c>
      <c r="O25" s="18" t="n">
        <v>0</v>
      </c>
      <c r="P25" s="20" t="n">
        <v>0</v>
      </c>
      <c r="Q25" s="18" t="n">
        <v>1.83691744</v>
      </c>
      <c r="R25" s="20" t="n">
        <v>0.73873054</v>
      </c>
    </row>
    <row r="26" spans="1:18">
      <c r="A26" s="15" t="s">
        <v>368</v>
      </c>
      <c r="B26" s="17" t="n">
        <v>2419</v>
      </c>
      <c r="C26" s="18">
        <f>(2121.0/B26*100)</f>
        <v/>
      </c>
      <c r="D26" s="19" t="n">
        <v>298</v>
      </c>
      <c r="E26" s="18" t="n">
        <v>52.02849894</v>
      </c>
      <c r="F26" s="20" t="n">
        <v>2.85796308</v>
      </c>
      <c r="G26" s="18" t="n">
        <v>46.34768941</v>
      </c>
      <c r="H26" s="20" t="n">
        <v>2.91463955</v>
      </c>
      <c r="I26" s="18" t="s">
        <v>349</v>
      </c>
      <c r="J26" s="20" t="s">
        <v>349</v>
      </c>
      <c r="K26" s="18" t="n">
        <v>0</v>
      </c>
      <c r="L26" s="20" t="n">
        <v>0</v>
      </c>
      <c r="M26" s="18" t="n">
        <v>0</v>
      </c>
      <c r="N26" s="20" t="n">
        <v>0</v>
      </c>
      <c r="O26" s="18" t="n">
        <v>0</v>
      </c>
      <c r="P26" s="20" t="n">
        <v>0</v>
      </c>
      <c r="Q26" s="18" t="n">
        <v>1.62381165</v>
      </c>
      <c r="R26" s="20" t="n">
        <v>0.74170546</v>
      </c>
    </row>
    <row r="27" spans="1:18">
      <c r="A27" s="15" t="s">
        <v>369</v>
      </c>
      <c r="B27" s="17" t="n">
        <v>2683</v>
      </c>
      <c r="C27" s="18">
        <f>(2364.0/B27*100)</f>
        <v/>
      </c>
      <c r="D27" s="19" t="n">
        <v>319</v>
      </c>
      <c r="E27" s="18" t="n">
        <v>46.29191528</v>
      </c>
      <c r="F27" s="20" t="n">
        <v>2.84726008</v>
      </c>
      <c r="G27" s="18" t="n">
        <v>47.45952097</v>
      </c>
      <c r="H27" s="20" t="n">
        <v>3.04558701</v>
      </c>
      <c r="I27" s="18" t="s">
        <v>349</v>
      </c>
      <c r="J27" s="20" t="s">
        <v>349</v>
      </c>
      <c r="K27" s="18" t="n">
        <v>0</v>
      </c>
      <c r="L27" s="20" t="n">
        <v>0</v>
      </c>
      <c r="M27" s="18" t="n">
        <v>0</v>
      </c>
      <c r="N27" s="20" t="n">
        <v>0</v>
      </c>
      <c r="O27" s="18" t="n">
        <v>0</v>
      </c>
      <c r="P27" s="20" t="n">
        <v>0</v>
      </c>
      <c r="Q27" s="18" t="n">
        <v>6.24856375</v>
      </c>
      <c r="R27" s="20" t="n">
        <v>1.28809669</v>
      </c>
    </row>
    <row r="28" spans="1:18">
      <c r="A28" s="15" t="s">
        <v>370</v>
      </c>
      <c r="B28" s="17" t="n">
        <v>3803</v>
      </c>
      <c r="C28" s="18">
        <f>(3364.0/B28*100)</f>
        <v/>
      </c>
      <c r="D28" s="19" t="n">
        <v>439</v>
      </c>
      <c r="E28" s="18" t="n">
        <v>76.65575787</v>
      </c>
      <c r="F28" s="20" t="n">
        <v>2.33809174</v>
      </c>
      <c r="G28" s="18" t="n">
        <v>20.47633257</v>
      </c>
      <c r="H28" s="20" t="n">
        <v>2.19719746</v>
      </c>
      <c r="I28" s="18" t="s">
        <v>349</v>
      </c>
      <c r="J28" s="20" t="s">
        <v>349</v>
      </c>
      <c r="K28" s="18" t="n">
        <v>0</v>
      </c>
      <c r="L28" s="20" t="n">
        <v>0</v>
      </c>
      <c r="M28" s="18" t="n">
        <v>0</v>
      </c>
      <c r="N28" s="20" t="n">
        <v>0</v>
      </c>
      <c r="O28" s="18" t="n">
        <v>0</v>
      </c>
      <c r="P28" s="20" t="n">
        <v>0</v>
      </c>
      <c r="Q28" s="18" t="n">
        <v>2.86790956</v>
      </c>
      <c r="R28" s="20" t="n">
        <v>0.88600972</v>
      </c>
    </row>
    <row r="29" spans="1:18">
      <c r="A29" s="15" t="s">
        <v>371</v>
      </c>
      <c r="B29" s="17" t="n">
        <v>2700</v>
      </c>
      <c r="C29" s="18">
        <f>(2389.0/B29*100)</f>
        <v/>
      </c>
      <c r="D29" s="19" t="n">
        <v>311</v>
      </c>
      <c r="E29" s="18" t="n">
        <v>42.63487456</v>
      </c>
      <c r="F29" s="20" t="n">
        <v>2.93503277</v>
      </c>
      <c r="G29" s="18" t="n">
        <v>55.09488425</v>
      </c>
      <c r="H29" s="20" t="n">
        <v>2.91186179</v>
      </c>
      <c r="I29" s="18" t="s">
        <v>349</v>
      </c>
      <c r="J29" s="20" t="s">
        <v>349</v>
      </c>
      <c r="K29" s="18" t="n">
        <v>0</v>
      </c>
      <c r="L29" s="20" t="n">
        <v>0</v>
      </c>
      <c r="M29" s="18" t="n">
        <v>0</v>
      </c>
      <c r="N29" s="20" t="n">
        <v>0</v>
      </c>
      <c r="O29" s="18" t="n">
        <v>0</v>
      </c>
      <c r="P29" s="20" t="n">
        <v>0</v>
      </c>
      <c r="Q29" s="18" t="n">
        <v>2.27024119</v>
      </c>
      <c r="R29" s="20" t="n">
        <v>0.95280095</v>
      </c>
    </row>
    <row r="30" spans="1:18">
      <c r="A30" s="15" t="s">
        <v>372</v>
      </c>
      <c r="B30" s="17" t="n">
        <v>2257</v>
      </c>
      <c r="C30" s="18">
        <f>(1968.0/B30*100)</f>
        <v/>
      </c>
      <c r="D30" s="19" t="n">
        <v>289</v>
      </c>
      <c r="E30" s="18" t="n">
        <v>45.2354048</v>
      </c>
      <c r="F30" s="20" t="n">
        <v>2.60840377</v>
      </c>
      <c r="G30" s="18" t="n">
        <v>47.72173745</v>
      </c>
      <c r="H30" s="20" t="n">
        <v>2.77569272</v>
      </c>
      <c r="I30" s="18" t="s">
        <v>349</v>
      </c>
      <c r="J30" s="20" t="s">
        <v>349</v>
      </c>
      <c r="K30" s="18" t="n">
        <v>0.32732167</v>
      </c>
      <c r="L30" s="20" t="n">
        <v>0.2921335</v>
      </c>
      <c r="M30" s="18" t="n">
        <v>0</v>
      </c>
      <c r="N30" s="20" t="n">
        <v>0</v>
      </c>
      <c r="O30" s="18" t="n">
        <v>0</v>
      </c>
      <c r="P30" s="20" t="n">
        <v>0</v>
      </c>
      <c r="Q30" s="18" t="n">
        <v>6.71553608</v>
      </c>
      <c r="R30" s="20" t="n">
        <v>1.52710413</v>
      </c>
    </row>
    <row r="31" spans="1:18">
      <c r="A31" s="15" t="s">
        <v>373</v>
      </c>
      <c r="B31" s="17" t="n">
        <v>2706</v>
      </c>
      <c r="C31" s="18">
        <f>(2372.0/B31*100)</f>
        <v/>
      </c>
      <c r="D31" s="19" t="n">
        <v>334</v>
      </c>
      <c r="E31" s="18" t="n">
        <v>41.97228795</v>
      </c>
      <c r="F31" s="20" t="n">
        <v>2.45523205</v>
      </c>
      <c r="G31" s="18" t="n">
        <v>52.30876996</v>
      </c>
      <c r="H31" s="20" t="n">
        <v>2.65957875</v>
      </c>
      <c r="I31" s="18" t="s">
        <v>349</v>
      </c>
      <c r="J31" s="20" t="s">
        <v>349</v>
      </c>
      <c r="K31" s="18" t="n">
        <v>0.91754867</v>
      </c>
      <c r="L31" s="20" t="n">
        <v>0.53189244</v>
      </c>
      <c r="M31" s="18" t="n">
        <v>0</v>
      </c>
      <c r="N31" s="20" t="n">
        <v>0</v>
      </c>
      <c r="O31" s="18" t="n">
        <v>0</v>
      </c>
      <c r="P31" s="20" t="n">
        <v>0</v>
      </c>
      <c r="Q31" s="18" t="n">
        <v>4.80139342</v>
      </c>
      <c r="R31" s="20" t="n">
        <v>1.15693798</v>
      </c>
    </row>
    <row r="32" spans="1:18">
      <c r="A32" s="15" t="s">
        <v>374</v>
      </c>
      <c r="B32" s="17" t="n">
        <v>2209</v>
      </c>
      <c r="C32" s="18">
        <f>(1856.0/B32*100)</f>
        <v/>
      </c>
      <c r="D32" s="19" t="n">
        <v>353</v>
      </c>
      <c r="E32" s="18" t="n">
        <v>48.76700497</v>
      </c>
      <c r="F32" s="20" t="n">
        <v>2.98082096</v>
      </c>
      <c r="G32" s="18" t="n">
        <v>47.45695786</v>
      </c>
      <c r="H32" s="20" t="n">
        <v>3.05763777</v>
      </c>
      <c r="I32" s="18" t="s">
        <v>349</v>
      </c>
      <c r="J32" s="20" t="s">
        <v>349</v>
      </c>
      <c r="K32" s="18" t="n">
        <v>0</v>
      </c>
      <c r="L32" s="20" t="n">
        <v>0</v>
      </c>
      <c r="M32" s="18" t="n">
        <v>0</v>
      </c>
      <c r="N32" s="20" t="n">
        <v>0</v>
      </c>
      <c r="O32" s="18" t="n">
        <v>0</v>
      </c>
      <c r="P32" s="20" t="n">
        <v>0</v>
      </c>
      <c r="Q32" s="18" t="n">
        <v>3.77603717</v>
      </c>
      <c r="R32" s="20" t="n">
        <v>1.02897277</v>
      </c>
    </row>
    <row r="33" spans="1:18">
      <c r="A33" s="15" t="s">
        <v>375</v>
      </c>
      <c r="B33" s="17" t="n">
        <v>3651</v>
      </c>
      <c r="C33" s="18">
        <f>(3209.0/B33*100)</f>
        <v/>
      </c>
      <c r="D33" s="19" t="n">
        <v>442</v>
      </c>
      <c r="E33" s="18" t="n">
        <v>40.74040104</v>
      </c>
      <c r="F33" s="20" t="n">
        <v>3.03770101</v>
      </c>
      <c r="G33" s="18" t="n">
        <v>50.46931742</v>
      </c>
      <c r="H33" s="20" t="n">
        <v>3.12321343</v>
      </c>
      <c r="I33" s="18" t="s">
        <v>349</v>
      </c>
      <c r="J33" s="20" t="s">
        <v>349</v>
      </c>
      <c r="K33" s="18" t="n">
        <v>0.02473327</v>
      </c>
      <c r="L33" s="20" t="n">
        <v>0.02474737</v>
      </c>
      <c r="M33" s="18" t="n">
        <v>0</v>
      </c>
      <c r="N33" s="20" t="n">
        <v>0</v>
      </c>
      <c r="O33" s="18" t="n">
        <v>0</v>
      </c>
      <c r="P33" s="20" t="n">
        <v>0</v>
      </c>
      <c r="Q33" s="18" t="n">
        <v>8.76554827</v>
      </c>
      <c r="R33" s="20" t="n">
        <v>1.72002277</v>
      </c>
    </row>
    <row r="34" spans="1:18">
      <c r="A34" s="15" t="s">
        <v>376</v>
      </c>
      <c r="B34" s="17" t="n">
        <v>3035</v>
      </c>
      <c r="C34" s="18">
        <f>(2674.0/B34*100)</f>
        <v/>
      </c>
      <c r="D34" s="19" t="n">
        <v>361</v>
      </c>
      <c r="E34" s="18" t="n">
        <v>42.56183428</v>
      </c>
      <c r="F34" s="20" t="n">
        <v>2.83882635</v>
      </c>
      <c r="G34" s="18" t="n">
        <v>51.81859505</v>
      </c>
      <c r="H34" s="20" t="n">
        <v>2.87028406</v>
      </c>
      <c r="I34" s="18" t="s">
        <v>349</v>
      </c>
      <c r="J34" s="20" t="s">
        <v>349</v>
      </c>
      <c r="K34" s="18" t="n">
        <v>0</v>
      </c>
      <c r="L34" s="20" t="n">
        <v>0</v>
      </c>
      <c r="M34" s="18" t="n">
        <v>0</v>
      </c>
      <c r="N34" s="20" t="n">
        <v>0</v>
      </c>
      <c r="O34" s="18" t="n">
        <v>0</v>
      </c>
      <c r="P34" s="20" t="n">
        <v>0</v>
      </c>
      <c r="Q34" s="18" t="n">
        <v>5.61957067</v>
      </c>
      <c r="R34" s="20" t="n">
        <v>1.38400056</v>
      </c>
    </row>
    <row r="35" spans="1:18">
      <c r="A35" s="15" t="s">
        <v>377</v>
      </c>
      <c r="B35" s="17" t="n">
        <v>2901</v>
      </c>
      <c r="C35" s="18">
        <f>(2546.0/B35*100)</f>
        <v/>
      </c>
      <c r="D35" s="19" t="n">
        <v>355</v>
      </c>
      <c r="E35" s="18" t="n">
        <v>43.23860354</v>
      </c>
      <c r="F35" s="20" t="n">
        <v>3.30484486</v>
      </c>
      <c r="G35" s="18" t="n">
        <v>53.65124278</v>
      </c>
      <c r="H35" s="20" t="n">
        <v>3.49762276</v>
      </c>
      <c r="I35" s="18" t="s">
        <v>349</v>
      </c>
      <c r="J35" s="20" t="s">
        <v>349</v>
      </c>
      <c r="K35" s="18" t="n">
        <v>0</v>
      </c>
      <c r="L35" s="20" t="n">
        <v>0</v>
      </c>
      <c r="M35" s="18" t="n">
        <v>0</v>
      </c>
      <c r="N35" s="20" t="n">
        <v>0</v>
      </c>
      <c r="O35" s="18" t="n">
        <v>0</v>
      </c>
      <c r="P35" s="20" t="n">
        <v>0</v>
      </c>
      <c r="Q35" s="18" t="n">
        <v>3.11015368</v>
      </c>
      <c r="R35" s="20" t="n">
        <v>1.14535874</v>
      </c>
    </row>
    <row r="36" spans="1:18">
      <c r="A36" s="15" t="s">
        <v>378</v>
      </c>
      <c r="B36" s="17" t="n">
        <v>3404</v>
      </c>
      <c r="C36" s="18">
        <f>(3003.0/B36*100)</f>
        <v/>
      </c>
      <c r="D36" s="19" t="n">
        <v>401</v>
      </c>
      <c r="E36" s="18" t="n">
        <v>35.18992774</v>
      </c>
      <c r="F36" s="20" t="n">
        <v>2.26925225</v>
      </c>
      <c r="G36" s="18" t="n">
        <v>56.9791539</v>
      </c>
      <c r="H36" s="20" t="n">
        <v>2.59156683</v>
      </c>
      <c r="I36" s="18" t="s">
        <v>349</v>
      </c>
      <c r="J36" s="20" t="s">
        <v>349</v>
      </c>
      <c r="K36" s="18" t="n">
        <v>0.37869022</v>
      </c>
      <c r="L36" s="20" t="n">
        <v>0.38784914</v>
      </c>
      <c r="M36" s="18" t="n">
        <v>0</v>
      </c>
      <c r="N36" s="20" t="n">
        <v>0</v>
      </c>
      <c r="O36" s="18" t="n">
        <v>0</v>
      </c>
      <c r="P36" s="20" t="n">
        <v>0</v>
      </c>
      <c r="Q36" s="18" t="n">
        <v>7.45222815</v>
      </c>
      <c r="R36" s="20" t="n">
        <v>1.43605076</v>
      </c>
    </row>
    <row r="37" spans="1:18">
      <c r="A37" s="15" t="s">
        <v>379</v>
      </c>
      <c r="B37" s="17" t="n">
        <v>2731</v>
      </c>
      <c r="C37" s="18">
        <f>(2421.0/B37*100)</f>
        <v/>
      </c>
      <c r="D37" s="19" t="n">
        <v>310</v>
      </c>
      <c r="E37" s="18" t="n">
        <v>45.41799827</v>
      </c>
      <c r="F37" s="20" t="n">
        <v>3.10389479</v>
      </c>
      <c r="G37" s="18" t="n">
        <v>44.97081137</v>
      </c>
      <c r="H37" s="20" t="n">
        <v>3.23129466</v>
      </c>
      <c r="I37" s="18" t="s">
        <v>349</v>
      </c>
      <c r="J37" s="20" t="s">
        <v>349</v>
      </c>
      <c r="K37" s="18" t="n">
        <v>1.56369645</v>
      </c>
      <c r="L37" s="20" t="n">
        <v>0.81845754</v>
      </c>
      <c r="M37" s="18" t="n">
        <v>0</v>
      </c>
      <c r="N37" s="20" t="n">
        <v>0</v>
      </c>
      <c r="O37" s="18" t="n">
        <v>0</v>
      </c>
      <c r="P37" s="20" t="n">
        <v>0</v>
      </c>
      <c r="Q37" s="18" t="n">
        <v>8.04749391</v>
      </c>
      <c r="R37" s="20" t="n">
        <v>1.7216463</v>
      </c>
    </row>
    <row r="38" spans="1:18">
      <c r="A38" s="15" t="s">
        <v>380</v>
      </c>
      <c r="B38" s="17" t="n">
        <v>2807</v>
      </c>
      <c r="C38" s="18">
        <f>(2343.0/B38*100)</f>
        <v/>
      </c>
      <c r="D38" s="19" t="n">
        <v>464</v>
      </c>
      <c r="E38" s="18" t="n">
        <v>37.05600471</v>
      </c>
      <c r="F38" s="20" t="n">
        <v>2.45121759</v>
      </c>
      <c r="G38" s="18" t="n">
        <v>56.75051255</v>
      </c>
      <c r="H38" s="20" t="n">
        <v>2.66962111</v>
      </c>
      <c r="I38" s="18" t="s">
        <v>349</v>
      </c>
      <c r="J38" s="20" t="s">
        <v>349</v>
      </c>
      <c r="K38" s="18" t="n">
        <v>1.08152373</v>
      </c>
      <c r="L38" s="20" t="n">
        <v>0.48855862</v>
      </c>
      <c r="M38" s="18" t="n">
        <v>0</v>
      </c>
      <c r="N38" s="20" t="n">
        <v>0</v>
      </c>
      <c r="O38" s="18" t="n">
        <v>0</v>
      </c>
      <c r="P38" s="20" t="n">
        <v>0</v>
      </c>
      <c r="Q38" s="18" t="n">
        <v>5.11195901</v>
      </c>
      <c r="R38" s="20" t="n">
        <v>1.24579099</v>
      </c>
    </row>
    <row r="39" spans="1:18">
      <c r="A39" s="15" t="s">
        <v>381</v>
      </c>
      <c r="B39" s="17" t="n">
        <v>2938</v>
      </c>
      <c r="C39" s="18">
        <f>(2578.0/B39*100)</f>
        <v/>
      </c>
      <c r="D39" s="19" t="n">
        <v>360</v>
      </c>
      <c r="E39" s="18" t="n">
        <v>67.98821174</v>
      </c>
      <c r="F39" s="20" t="n">
        <v>3.01003121</v>
      </c>
      <c r="G39" s="18" t="n">
        <v>22.01336604</v>
      </c>
      <c r="H39" s="20" t="n">
        <v>2.94175695</v>
      </c>
      <c r="I39" s="18" t="s">
        <v>349</v>
      </c>
      <c r="J39" s="20" t="s">
        <v>349</v>
      </c>
      <c r="K39" s="18" t="n">
        <v>0.59949208</v>
      </c>
      <c r="L39" s="20" t="n">
        <v>0.48145623</v>
      </c>
      <c r="M39" s="18" t="n">
        <v>0</v>
      </c>
      <c r="N39" s="20" t="n">
        <v>0</v>
      </c>
      <c r="O39" s="18" t="n">
        <v>0</v>
      </c>
      <c r="P39" s="20" t="n">
        <v>0</v>
      </c>
      <c r="Q39" s="18" t="n">
        <v>9.39893013</v>
      </c>
      <c r="R39" s="20" t="n">
        <v>1.67614573</v>
      </c>
    </row>
    <row r="40" spans="1:18">
      <c r="A40" s="15" t="s">
        <v>382</v>
      </c>
      <c r="B40" s="17" t="n">
        <v>6922</v>
      </c>
      <c r="C40" s="18">
        <f>(6077.0/B40*100)</f>
        <v/>
      </c>
      <c r="D40" s="19" t="n">
        <v>845</v>
      </c>
      <c r="E40" s="18" t="n">
        <v>40.10992805</v>
      </c>
      <c r="F40" s="20" t="n">
        <v>2.69883883</v>
      </c>
      <c r="G40" s="18" t="n">
        <v>54.00363309</v>
      </c>
      <c r="H40" s="20" t="n">
        <v>2.93911664</v>
      </c>
      <c r="I40" s="18" t="s">
        <v>349</v>
      </c>
      <c r="J40" s="20" t="s">
        <v>349</v>
      </c>
      <c r="K40" s="18" t="n">
        <v>0.42632429</v>
      </c>
      <c r="L40" s="20" t="n">
        <v>0.43682799</v>
      </c>
      <c r="M40" s="18" t="n">
        <v>0</v>
      </c>
      <c r="N40" s="20" t="n">
        <v>0</v>
      </c>
      <c r="O40" s="18" t="n">
        <v>0</v>
      </c>
      <c r="P40" s="20" t="n">
        <v>0</v>
      </c>
      <c r="Q40" s="18" t="n">
        <v>5.46011457</v>
      </c>
      <c r="R40" s="20" t="n">
        <v>1.22195238</v>
      </c>
    </row>
    <row r="41" spans="1:18">
      <c r="A41" s="15" t="s">
        <v>383</v>
      </c>
      <c r="B41" s="17" t="n">
        <v>2854</v>
      </c>
      <c r="C41" s="18">
        <f>(2511.0/B41*100)</f>
        <v/>
      </c>
      <c r="D41" s="19" t="n">
        <v>343</v>
      </c>
      <c r="E41" s="18" t="n">
        <v>50.36734493</v>
      </c>
      <c r="F41" s="20" t="n">
        <v>2.61116495</v>
      </c>
      <c r="G41" s="18" t="n">
        <v>48.14400666</v>
      </c>
      <c r="H41" s="20" t="n">
        <v>2.57646835</v>
      </c>
      <c r="I41" s="18" t="s">
        <v>349</v>
      </c>
      <c r="J41" s="20" t="s">
        <v>349</v>
      </c>
      <c r="K41" s="18" t="n">
        <v>0.33484693</v>
      </c>
      <c r="L41" s="20" t="n">
        <v>0.34144045</v>
      </c>
      <c r="M41" s="18" t="n">
        <v>0</v>
      </c>
      <c r="N41" s="20" t="n">
        <v>0</v>
      </c>
      <c r="O41" s="18" t="n">
        <v>0</v>
      </c>
      <c r="P41" s="20" t="n">
        <v>0</v>
      </c>
      <c r="Q41" s="18" t="n">
        <v>1.15380148</v>
      </c>
      <c r="R41" s="20" t="n">
        <v>0.58421153</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(10794.0/B46*100)</f>
        <v/>
      </c>
      <c r="D46" s="19" t="n">
        <v>1279</v>
      </c>
      <c r="E46" s="18" t="n">
        <v>76.71297371999999</v>
      </c>
      <c r="F46" s="20" t="n">
        <v>1.51220409</v>
      </c>
      <c r="G46" s="18" t="n">
        <v>11.79266274</v>
      </c>
      <c r="H46" s="20" t="n">
        <v>1.14647054</v>
      </c>
      <c r="I46" s="18" t="s">
        <v>349</v>
      </c>
      <c r="J46" s="20" t="s">
        <v>349</v>
      </c>
      <c r="K46" s="18" t="n">
        <v>2.06141838</v>
      </c>
      <c r="L46" s="20" t="n">
        <v>0.5273647</v>
      </c>
      <c r="M46" s="18" t="n">
        <v>0</v>
      </c>
      <c r="N46" s="20" t="n">
        <v>0</v>
      </c>
      <c r="O46" s="18" t="n">
        <v>0</v>
      </c>
      <c r="P46" s="20" t="n">
        <v>0</v>
      </c>
      <c r="Q46" s="18" t="n">
        <v>9.43294515</v>
      </c>
      <c r="R46" s="20" t="n">
        <v>1.0079251</v>
      </c>
    </row>
    <row r="47" spans="1:18">
      <c r="A47" s="15" t="s">
        <v>389</v>
      </c>
      <c r="B47" s="17" t="n">
        <v>2823</v>
      </c>
      <c r="C47" s="18">
        <f>(2485.0/B47*100)</f>
        <v/>
      </c>
      <c r="D47" s="19" t="n">
        <v>338</v>
      </c>
      <c r="E47" s="18" t="n">
        <v>60.76543755</v>
      </c>
      <c r="F47" s="20" t="n">
        <v>2.89739958</v>
      </c>
      <c r="G47" s="18" t="n">
        <v>33.70049992</v>
      </c>
      <c r="H47" s="20" t="n">
        <v>2.76878181</v>
      </c>
      <c r="I47" s="18" t="s">
        <v>349</v>
      </c>
      <c r="J47" s="20" t="s">
        <v>349</v>
      </c>
      <c r="K47" s="18" t="n">
        <v>0.2767437</v>
      </c>
      <c r="L47" s="20" t="n">
        <v>0.27568922</v>
      </c>
      <c r="M47" s="18" t="n">
        <v>0</v>
      </c>
      <c r="N47" s="20" t="n">
        <v>0</v>
      </c>
      <c r="O47" s="18" t="n">
        <v>0</v>
      </c>
      <c r="P47" s="20" t="n">
        <v>0</v>
      </c>
      <c r="Q47" s="18" t="n">
        <v>5.25731883</v>
      </c>
      <c r="R47" s="20" t="n">
        <v>1.29889078</v>
      </c>
    </row>
    <row r="48" spans="1:18">
      <c r="A48" s="15" t="s">
        <v>390</v>
      </c>
      <c r="B48" s="17" t="n">
        <v>4682</v>
      </c>
      <c r="C48" s="18">
        <f>(4101.0/B48*100)</f>
        <v/>
      </c>
      <c r="D48" s="19" t="n">
        <v>581</v>
      </c>
      <c r="E48" s="18" t="n">
        <v>45.11409054</v>
      </c>
      <c r="F48" s="20" t="n">
        <v>2.81373215</v>
      </c>
      <c r="G48" s="18" t="n">
        <v>53.46968595</v>
      </c>
      <c r="H48" s="20" t="n">
        <v>2.84312739</v>
      </c>
      <c r="I48" s="18" t="s">
        <v>349</v>
      </c>
      <c r="J48" s="20" t="s">
        <v>349</v>
      </c>
      <c r="K48" s="18" t="n">
        <v>0</v>
      </c>
      <c r="L48" s="20" t="n">
        <v>0</v>
      </c>
      <c r="M48" s="18" t="n">
        <v>0</v>
      </c>
      <c r="N48" s="20" t="n">
        <v>0</v>
      </c>
      <c r="O48" s="18" t="n">
        <v>0</v>
      </c>
      <c r="P48" s="20" t="n">
        <v>0</v>
      </c>
      <c r="Q48" s="18" t="n">
        <v>1.4162235</v>
      </c>
      <c r="R48" s="20" t="n">
        <v>0.65602212</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(5408.0/B50*100)</f>
        <v/>
      </c>
      <c r="D50" s="19" t="n">
        <v>750</v>
      </c>
      <c r="E50" s="18" t="n">
        <v>80.41607972</v>
      </c>
      <c r="F50" s="20" t="n">
        <v>1.97575984</v>
      </c>
      <c r="G50" s="18" t="n">
        <v>13.54527677</v>
      </c>
      <c r="H50" s="20" t="n">
        <v>1.83612727</v>
      </c>
      <c r="I50" s="18" t="s">
        <v>349</v>
      </c>
      <c r="J50" s="20" t="s">
        <v>349</v>
      </c>
      <c r="K50" s="18" t="n">
        <v>1.35712579</v>
      </c>
      <c r="L50" s="20" t="n">
        <v>0.53225369</v>
      </c>
      <c r="M50" s="18" t="n">
        <v>0</v>
      </c>
      <c r="N50" s="20" t="n">
        <v>0</v>
      </c>
      <c r="O50" s="18" t="n">
        <v>0</v>
      </c>
      <c r="P50" s="20" t="n">
        <v>0</v>
      </c>
      <c r="Q50" s="18" t="n">
        <v>4.68151771</v>
      </c>
      <c r="R50" s="20" t="n">
        <v>0.78460453</v>
      </c>
    </row>
    <row r="51" spans="1:18">
      <c r="A51" s="15" t="s">
        <v>393</v>
      </c>
      <c r="B51" s="17" t="n">
        <v>3494</v>
      </c>
      <c r="C51" s="18">
        <f>(3104.0/B51*100)</f>
        <v/>
      </c>
      <c r="D51" s="19" t="n">
        <v>390</v>
      </c>
      <c r="E51" s="18" t="n">
        <v>86.51286082999999</v>
      </c>
      <c r="F51" s="20" t="n">
        <v>1.71023438</v>
      </c>
      <c r="G51" s="18" t="n">
        <v>6.03844095</v>
      </c>
      <c r="H51" s="20" t="n">
        <v>1.28582819</v>
      </c>
      <c r="I51" s="18" t="s">
        <v>349</v>
      </c>
      <c r="J51" s="20" t="s">
        <v>349</v>
      </c>
      <c r="K51" s="18" t="n">
        <v>0.59871783</v>
      </c>
      <c r="L51" s="20" t="n">
        <v>0.5764531899999999</v>
      </c>
      <c r="M51" s="18" t="n">
        <v>0</v>
      </c>
      <c r="N51" s="20" t="n">
        <v>0</v>
      </c>
      <c r="O51" s="18" t="n">
        <v>0</v>
      </c>
      <c r="P51" s="20" t="n">
        <v>0</v>
      </c>
      <c r="Q51" s="18" t="n">
        <v>6.84998038</v>
      </c>
      <c r="R51" s="20" t="n">
        <v>1.21463124</v>
      </c>
    </row>
    <row r="52" spans="1:18">
      <c r="A52" s="15" t="s">
        <v>394</v>
      </c>
      <c r="B52" s="17" t="n">
        <v>3013</v>
      </c>
      <c r="C52" s="18">
        <f>(2645.0/B52*100)</f>
        <v/>
      </c>
      <c r="D52" s="19" t="n">
        <v>368</v>
      </c>
      <c r="E52" s="18" t="n">
        <v>48.48310551</v>
      </c>
      <c r="F52" s="20" t="n">
        <v>2.75422604</v>
      </c>
      <c r="G52" s="18" t="n">
        <v>42.2927384</v>
      </c>
      <c r="H52" s="20" t="n">
        <v>2.6583412</v>
      </c>
      <c r="I52" s="18" t="s">
        <v>349</v>
      </c>
      <c r="J52" s="20" t="s">
        <v>349</v>
      </c>
      <c r="K52" s="18" t="n">
        <v>0</v>
      </c>
      <c r="L52" s="20" t="n">
        <v>0</v>
      </c>
      <c r="M52" s="18" t="n">
        <v>0</v>
      </c>
      <c r="N52" s="20" t="n">
        <v>0</v>
      </c>
      <c r="O52" s="18" t="n">
        <v>0</v>
      </c>
      <c r="P52" s="20" t="n">
        <v>0</v>
      </c>
      <c r="Q52" s="18" t="n">
        <v>9.224156089999999</v>
      </c>
      <c r="R52" s="20" t="n">
        <v>1.36275953</v>
      </c>
    </row>
    <row r="53" spans="1:18">
      <c r="A53" s="15" t="s">
        <v>395</v>
      </c>
      <c r="B53" s="17" t="n">
        <v>2760</v>
      </c>
      <c r="C53" s="18">
        <f>(2416.0/B53*100)</f>
        <v/>
      </c>
      <c r="D53" s="19" t="n">
        <v>344</v>
      </c>
      <c r="E53" s="18" t="n">
        <v>61.15317978</v>
      </c>
      <c r="F53" s="20" t="n">
        <v>2.86174585</v>
      </c>
      <c r="G53" s="18" t="n">
        <v>31.83476099</v>
      </c>
      <c r="H53" s="20" t="n">
        <v>2.74461421</v>
      </c>
      <c r="I53" s="18" t="s">
        <v>349</v>
      </c>
      <c r="J53" s="20" t="s">
        <v>349</v>
      </c>
      <c r="K53" s="18" t="n">
        <v>0.5800437899999999</v>
      </c>
      <c r="L53" s="20" t="n">
        <v>0.43796369</v>
      </c>
      <c r="M53" s="18" t="n">
        <v>0</v>
      </c>
      <c r="N53" s="20" t="n">
        <v>0</v>
      </c>
      <c r="O53" s="18" t="n">
        <v>0</v>
      </c>
      <c r="P53" s="20" t="n">
        <v>0</v>
      </c>
      <c r="Q53" s="18" t="n">
        <v>6.43201544</v>
      </c>
      <c r="R53" s="20" t="n">
        <v>1.26410334</v>
      </c>
    </row>
    <row r="54" spans="1:18">
      <c r="A54" s="15" t="s">
        <v>396</v>
      </c>
      <c r="B54" s="17" t="n">
        <v>2474</v>
      </c>
      <c r="C54" s="18">
        <f>(2086.0/B54*100)</f>
        <v/>
      </c>
      <c r="D54" s="19" t="n">
        <v>388</v>
      </c>
      <c r="E54" s="18" t="n">
        <v>73.22835370999999</v>
      </c>
      <c r="F54" s="20" t="n">
        <v>2.66936753</v>
      </c>
      <c r="G54" s="18" t="n">
        <v>1.8856712</v>
      </c>
      <c r="H54" s="20" t="n">
        <v>0.9954237</v>
      </c>
      <c r="I54" s="18" t="s">
        <v>349</v>
      </c>
      <c r="J54" s="20" t="s">
        <v>349</v>
      </c>
      <c r="K54" s="18" t="n">
        <v>9.83407006</v>
      </c>
      <c r="L54" s="20" t="n">
        <v>1.8316454</v>
      </c>
      <c r="M54" s="18" t="n">
        <v>0</v>
      </c>
      <c r="N54" s="20" t="n">
        <v>0</v>
      </c>
      <c r="O54" s="18" t="n">
        <v>0</v>
      </c>
      <c r="P54" s="20" t="n">
        <v>0</v>
      </c>
      <c r="Q54" s="18" t="n">
        <v>15.05190503</v>
      </c>
      <c r="R54" s="20" t="n">
        <v>1.80307997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(2322.0/B56*100)</f>
        <v/>
      </c>
      <c r="D56" s="19" t="n">
        <v>353</v>
      </c>
      <c r="E56" s="18" t="n">
        <v>35.750052</v>
      </c>
      <c r="F56" s="20" t="n">
        <v>2.81821875</v>
      </c>
      <c r="G56" s="18" t="n">
        <v>62.72517811</v>
      </c>
      <c r="H56" s="20" t="n">
        <v>2.87043408</v>
      </c>
      <c r="I56" s="18" t="s">
        <v>349</v>
      </c>
      <c r="J56" s="20" t="s">
        <v>349</v>
      </c>
      <c r="K56" s="18" t="n">
        <v>0</v>
      </c>
      <c r="L56" s="20" t="n">
        <v>0</v>
      </c>
      <c r="M56" s="18" t="n">
        <v>0</v>
      </c>
      <c r="N56" s="20" t="n">
        <v>0</v>
      </c>
      <c r="O56" s="18" t="n">
        <v>0</v>
      </c>
      <c r="P56" s="20" t="n">
        <v>0</v>
      </c>
      <c r="Q56" s="18" t="n">
        <v>1.52476989</v>
      </c>
      <c r="R56" s="20" t="n">
        <v>0.78906974</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(2819.0/B61*100)</f>
        <v/>
      </c>
      <c r="D61" s="19" t="n">
        <v>382</v>
      </c>
      <c r="E61" s="18" t="n">
        <v>44.29928411</v>
      </c>
      <c r="F61" s="20" t="n">
        <v>2.77956052</v>
      </c>
      <c r="G61" s="18" t="n">
        <v>52.95621989</v>
      </c>
      <c r="H61" s="20" t="n">
        <v>2.77932322</v>
      </c>
      <c r="I61" s="18" t="s">
        <v>349</v>
      </c>
      <c r="J61" s="20" t="s">
        <v>349</v>
      </c>
      <c r="K61" s="18" t="n">
        <v>0.58564096</v>
      </c>
      <c r="L61" s="20" t="n">
        <v>0.41632435</v>
      </c>
      <c r="M61" s="18" t="n">
        <v>0</v>
      </c>
      <c r="N61" s="20" t="n">
        <v>0</v>
      </c>
      <c r="O61" s="18" t="n">
        <v>0</v>
      </c>
      <c r="P61" s="20" t="n">
        <v>0</v>
      </c>
      <c r="Q61" s="18" t="n">
        <v>2.15885503</v>
      </c>
      <c r="R61" s="20" t="n">
        <v>0.72929662</v>
      </c>
    </row>
    <row r="62" spans="1:18">
      <c r="A62" s="15" t="s">
        <v>404</v>
      </c>
      <c r="B62" s="17" t="n">
        <v>2230</v>
      </c>
      <c r="C62" s="18">
        <f>(1947.0/B62*100)</f>
        <v/>
      </c>
      <c r="D62" s="19" t="n">
        <v>283</v>
      </c>
      <c r="E62" s="18" t="n">
        <v>39.19280877</v>
      </c>
      <c r="F62" s="20" t="n">
        <v>3.26430797</v>
      </c>
      <c r="G62" s="18" t="n">
        <v>60.45638738</v>
      </c>
      <c r="H62" s="20" t="n">
        <v>3.23059589</v>
      </c>
      <c r="I62" s="18" t="s">
        <v>349</v>
      </c>
      <c r="J62" s="20" t="s">
        <v>349</v>
      </c>
      <c r="K62" s="18" t="n">
        <v>0</v>
      </c>
      <c r="L62" s="20" t="n">
        <v>0</v>
      </c>
      <c r="M62" s="18" t="n">
        <v>0</v>
      </c>
      <c r="N62" s="20" t="n">
        <v>0</v>
      </c>
      <c r="O62" s="18" t="n">
        <v>0</v>
      </c>
      <c r="P62" s="20" t="n">
        <v>0</v>
      </c>
      <c r="Q62" s="18" t="n">
        <v>0.35080384</v>
      </c>
      <c r="R62" s="20" t="n">
        <v>0.35079083</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(2436.0/B66*100)</f>
        <v/>
      </c>
      <c r="D66" s="19" t="n">
        <v>335</v>
      </c>
      <c r="E66" s="18" t="n">
        <v>58.62196862</v>
      </c>
      <c r="F66" s="20" t="n">
        <v>2.3770601</v>
      </c>
      <c r="G66" s="18" t="n">
        <v>25.61839483</v>
      </c>
      <c r="H66" s="20" t="n">
        <v>2.33101834</v>
      </c>
      <c r="I66" s="18" t="s">
        <v>349</v>
      </c>
      <c r="J66" s="20" t="s">
        <v>349</v>
      </c>
      <c r="K66" s="18" t="n">
        <v>1.23566269</v>
      </c>
      <c r="L66" s="20" t="n">
        <v>0.61724497</v>
      </c>
      <c r="M66" s="18" t="n">
        <v>0</v>
      </c>
      <c r="N66" s="20" t="n">
        <v>0</v>
      </c>
      <c r="O66" s="18" t="n">
        <v>0</v>
      </c>
      <c r="P66" s="20" t="n">
        <v>0</v>
      </c>
      <c r="Q66" s="18" t="n">
        <v>14.52397386</v>
      </c>
      <c r="R66" s="20" t="n">
        <v>1.83305058</v>
      </c>
    </row>
    <row r="67" spans="1:18">
      <c r="A67" s="15" t="s">
        <v>409</v>
      </c>
      <c r="B67" s="17" t="n">
        <v>3460</v>
      </c>
      <c r="C67" s="18">
        <f>(3063.0/B67*100)</f>
        <v/>
      </c>
      <c r="D67" s="19" t="n">
        <v>397</v>
      </c>
      <c r="E67" s="18" t="n">
        <v>81.71477056000001</v>
      </c>
      <c r="F67" s="20" t="n">
        <v>1.86222491</v>
      </c>
      <c r="G67" s="18" t="n">
        <v>8.934663390000001</v>
      </c>
      <c r="H67" s="20" t="n">
        <v>1.67951153</v>
      </c>
      <c r="I67" s="18" t="s">
        <v>349</v>
      </c>
      <c r="J67" s="20" t="s">
        <v>349</v>
      </c>
      <c r="K67" s="18" t="n">
        <v>0.42081664</v>
      </c>
      <c r="L67" s="20" t="n">
        <v>0.29730671</v>
      </c>
      <c r="M67" s="18" t="n">
        <v>0</v>
      </c>
      <c r="N67" s="20" t="n">
        <v>0</v>
      </c>
      <c r="O67" s="18" t="n">
        <v>0</v>
      </c>
      <c r="P67" s="20" t="n">
        <v>0</v>
      </c>
      <c r="Q67" s="18" t="n">
        <v>8.9297494</v>
      </c>
      <c r="R67" s="20" t="n">
        <v>1.2943117</v>
      </c>
    </row>
    <row r="68" spans="1:18">
      <c r="A68" s="15" t="s">
        <v>410</v>
      </c>
      <c r="B68" s="17" t="n">
        <v>6034</v>
      </c>
      <c r="C68" s="18">
        <f>(5023.0/B68*100)</f>
        <v/>
      </c>
      <c r="D68" s="19" t="n">
        <v>1011</v>
      </c>
      <c r="E68" s="18" t="n">
        <v>69.56014466000001</v>
      </c>
      <c r="F68" s="20" t="n">
        <v>1.72930148</v>
      </c>
      <c r="G68" s="18" t="n">
        <v>22.74752784</v>
      </c>
      <c r="H68" s="20" t="n">
        <v>1.44411993</v>
      </c>
      <c r="I68" s="18" t="s">
        <v>349</v>
      </c>
      <c r="J68" s="20" t="s">
        <v>349</v>
      </c>
      <c r="K68" s="18" t="n">
        <v>2.14817541</v>
      </c>
      <c r="L68" s="20" t="n">
        <v>0.45347929</v>
      </c>
      <c r="M68" s="18" t="n">
        <v>0</v>
      </c>
      <c r="N68" s="20" t="n">
        <v>0</v>
      </c>
      <c r="O68" s="18" t="n">
        <v>0</v>
      </c>
      <c r="P68" s="20" t="n">
        <v>0</v>
      </c>
      <c r="Q68" s="18" t="n">
        <v>5.54415209</v>
      </c>
      <c r="R68" s="20" t="n">
        <v>0.67666408</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(2723.0/B70*100)</f>
        <v/>
      </c>
      <c r="D70" s="19" t="n">
        <v>384</v>
      </c>
      <c r="E70" s="18" t="n">
        <v>54.90916511</v>
      </c>
      <c r="F70" s="20" t="n">
        <v>2.83587513</v>
      </c>
      <c r="G70" s="18" t="n">
        <v>43.47809145</v>
      </c>
      <c r="H70" s="20" t="n">
        <v>2.70962777</v>
      </c>
      <c r="I70" s="18" t="s">
        <v>349</v>
      </c>
      <c r="J70" s="20" t="s">
        <v>349</v>
      </c>
      <c r="K70" s="18" t="n">
        <v>0</v>
      </c>
      <c r="L70" s="20" t="n">
        <v>0</v>
      </c>
      <c r="M70" s="18" t="n">
        <v>0</v>
      </c>
      <c r="N70" s="20" t="n">
        <v>0</v>
      </c>
      <c r="O70" s="18" t="n">
        <v>0</v>
      </c>
      <c r="P70" s="20" t="n">
        <v>0</v>
      </c>
      <c r="Q70" s="18" t="n">
        <v>1.61274344</v>
      </c>
      <c r="R70" s="20" t="n">
        <v>0.74086288</v>
      </c>
    </row>
    <row r="71" spans="1:18">
      <c r="A71" s="15" t="s">
        <v>413</v>
      </c>
      <c r="B71" s="17" t="n">
        <v>2973</v>
      </c>
      <c r="C71" s="18">
        <f>(2613.0/B71*100)</f>
        <v/>
      </c>
      <c r="D71" s="19" t="n">
        <v>360</v>
      </c>
      <c r="E71" s="18" t="n">
        <v>24.62144128</v>
      </c>
      <c r="F71" s="20" t="n">
        <v>2.35694496</v>
      </c>
      <c r="G71" s="18" t="n">
        <v>74.77901271</v>
      </c>
      <c r="H71" s="20" t="n">
        <v>2.3551783</v>
      </c>
      <c r="I71" s="18" t="s">
        <v>349</v>
      </c>
      <c r="J71" s="20" t="s">
        <v>349</v>
      </c>
      <c r="K71" s="18" t="n">
        <v>0.32368251</v>
      </c>
      <c r="L71" s="20" t="n">
        <v>0.325956</v>
      </c>
      <c r="M71" s="18" t="n">
        <v>0</v>
      </c>
      <c r="N71" s="20" t="n">
        <v>0</v>
      </c>
      <c r="O71" s="18" t="n">
        <v>0</v>
      </c>
      <c r="P71" s="20" t="n">
        <v>0</v>
      </c>
      <c r="Q71" s="18" t="n">
        <v>0.27586349</v>
      </c>
      <c r="R71" s="20" t="n">
        <v>0.27761227</v>
      </c>
    </row>
    <row r="72" spans="1:18">
      <c r="A72" s="15" t="s">
        <v>414</v>
      </c>
      <c r="B72" s="17" t="n">
        <v>3819</v>
      </c>
      <c r="C72" s="18">
        <f>(3345.0/B72*100)</f>
        <v/>
      </c>
      <c r="D72" s="19" t="n">
        <v>474</v>
      </c>
      <c r="E72" s="18" t="n">
        <v>46.3645095</v>
      </c>
      <c r="F72" s="20" t="n">
        <v>2.28776888</v>
      </c>
      <c r="G72" s="18" t="n">
        <v>51.72307626</v>
      </c>
      <c r="H72" s="20" t="n">
        <v>2.32381857</v>
      </c>
      <c r="I72" s="18" t="s">
        <v>349</v>
      </c>
      <c r="J72" s="20" t="s">
        <v>349</v>
      </c>
      <c r="K72" s="18" t="n">
        <v>0</v>
      </c>
      <c r="L72" s="20" t="n">
        <v>0</v>
      </c>
      <c r="M72" s="18" t="n">
        <v>0</v>
      </c>
      <c r="N72" s="20" t="n">
        <v>0</v>
      </c>
      <c r="O72" s="18" t="n">
        <v>0</v>
      </c>
      <c r="P72" s="20" t="n">
        <v>0</v>
      </c>
      <c r="Q72" s="18" t="n">
        <v>1.91241424</v>
      </c>
      <c r="R72" s="20" t="n">
        <v>0.5791532</v>
      </c>
    </row>
    <row r="73" spans="1:18">
      <c r="A73" s="15" t="s">
        <v>415</v>
      </c>
      <c r="B73" s="17" t="n">
        <v>4652</v>
      </c>
      <c r="C73" s="18">
        <f>(4113.0/B73*100)</f>
        <v/>
      </c>
      <c r="D73" s="19" t="n">
        <v>539</v>
      </c>
      <c r="E73" s="18" t="n">
        <v>81.45398557</v>
      </c>
      <c r="F73" s="20" t="n">
        <v>1.96904639</v>
      </c>
      <c r="G73" s="18" t="n">
        <v>17.19573731</v>
      </c>
      <c r="H73" s="20" t="n">
        <v>1.96094147</v>
      </c>
      <c r="I73" s="18" t="s">
        <v>349</v>
      </c>
      <c r="J73" s="20" t="s">
        <v>349</v>
      </c>
      <c r="K73" s="18" t="n">
        <v>0</v>
      </c>
      <c r="L73" s="20" t="n">
        <v>0</v>
      </c>
      <c r="M73" s="18" t="n">
        <v>0</v>
      </c>
      <c r="N73" s="20" t="n">
        <v>0</v>
      </c>
      <c r="O73" s="18" t="n">
        <v>0</v>
      </c>
      <c r="P73" s="20" t="n">
        <v>0</v>
      </c>
      <c r="Q73" s="18" t="n">
        <v>1.35027712</v>
      </c>
      <c r="R73" s="20" t="n">
        <v>0.74821759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(2631.0/B75*100)</f>
        <v/>
      </c>
      <c r="D75" s="19" t="n">
        <v>338</v>
      </c>
      <c r="E75" s="18" t="n">
        <v>80.44296008000001</v>
      </c>
      <c r="F75" s="20" t="n">
        <v>2.44701527</v>
      </c>
      <c r="G75" s="18" t="n">
        <v>5.55847882</v>
      </c>
      <c r="H75" s="20" t="n">
        <v>1.37814239</v>
      </c>
      <c r="I75" s="18" t="s">
        <v>349</v>
      </c>
      <c r="J75" s="20" t="s">
        <v>349</v>
      </c>
      <c r="K75" s="18" t="n">
        <v>3.11543601</v>
      </c>
      <c r="L75" s="20" t="n">
        <v>1.03374575</v>
      </c>
      <c r="M75" s="18" t="n">
        <v>0</v>
      </c>
      <c r="N75" s="20" t="n">
        <v>0</v>
      </c>
      <c r="O75" s="18" t="n">
        <v>0</v>
      </c>
      <c r="P75" s="20" t="n">
        <v>0</v>
      </c>
      <c r="Q75" s="18" t="n">
        <v>10.8831251</v>
      </c>
      <c r="R75" s="20" t="n">
        <v>2.08210395</v>
      </c>
    </row>
    <row r="76" spans="1:18">
      <c r="A76" s="15" t="s">
        <v>418</v>
      </c>
      <c r="B76" s="17" t="n">
        <v>7115</v>
      </c>
      <c r="C76" s="18">
        <f>(6246.0/B76*100)</f>
        <v/>
      </c>
      <c r="D76" s="19" t="n">
        <v>869</v>
      </c>
      <c r="E76" s="18" t="n">
        <v>71.55138388</v>
      </c>
      <c r="F76" s="20" t="n">
        <v>1.968855</v>
      </c>
      <c r="G76" s="18" t="n">
        <v>26.05144124</v>
      </c>
      <c r="H76" s="20" t="n">
        <v>1.97656563</v>
      </c>
      <c r="I76" s="18" t="s">
        <v>349</v>
      </c>
      <c r="J76" s="20" t="s">
        <v>349</v>
      </c>
      <c r="K76" s="18" t="n">
        <v>0.61270333</v>
      </c>
      <c r="L76" s="20" t="n">
        <v>0.28415777</v>
      </c>
      <c r="M76" s="18" t="n">
        <v>0</v>
      </c>
      <c r="N76" s="20" t="n">
        <v>0</v>
      </c>
      <c r="O76" s="18" t="n">
        <v>0</v>
      </c>
      <c r="P76" s="20" t="n">
        <v>0</v>
      </c>
      <c r="Q76" s="18" t="n">
        <v>1.78447155</v>
      </c>
      <c r="R76" s="20" t="n">
        <v>0.58267199</v>
      </c>
    </row>
    <row r="77" spans="1:18">
      <c r="A77" s="15" t="s">
        <v>419</v>
      </c>
      <c r="B77" s="17" t="n">
        <v>3154</v>
      </c>
      <c r="C77" s="18">
        <f>(2792.0/B77*100)</f>
        <v/>
      </c>
      <c r="D77" s="19" t="n">
        <v>362</v>
      </c>
      <c r="E77" s="18" t="n">
        <v>61.76748642</v>
      </c>
      <c r="F77" s="20" t="n">
        <v>2.34431471</v>
      </c>
      <c r="G77" s="18" t="n">
        <v>19.21528617</v>
      </c>
      <c r="H77" s="20" t="n">
        <v>2.1542311</v>
      </c>
      <c r="I77" s="18" t="s">
        <v>349</v>
      </c>
      <c r="J77" s="20" t="s">
        <v>349</v>
      </c>
      <c r="K77" s="18" t="n">
        <v>1.4768997</v>
      </c>
      <c r="L77" s="20" t="n">
        <v>0.59491489</v>
      </c>
      <c r="M77" s="18" t="n">
        <v>0</v>
      </c>
      <c r="N77" s="20" t="n">
        <v>0</v>
      </c>
      <c r="O77" s="18" t="n">
        <v>0</v>
      </c>
      <c r="P77" s="20" t="n">
        <v>0</v>
      </c>
      <c r="Q77" s="18" t="n">
        <v>17.54032772</v>
      </c>
      <c r="R77" s="20" t="n">
        <v>1.83084415</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(4138.0/B81*100)</f>
        <v/>
      </c>
      <c r="D81" s="19" t="n">
        <v>560</v>
      </c>
      <c r="E81" s="18" t="n">
        <v>67.86158210000001</v>
      </c>
      <c r="F81" s="20" t="n">
        <v>2.52425473</v>
      </c>
      <c r="G81" s="18" t="n">
        <v>31.1250092</v>
      </c>
      <c r="H81" s="20" t="n">
        <v>2.4492615</v>
      </c>
      <c r="I81" s="18" t="s">
        <v>349</v>
      </c>
      <c r="J81" s="20" t="s">
        <v>349</v>
      </c>
      <c r="K81" s="18" t="n">
        <v>0</v>
      </c>
      <c r="L81" s="20" t="n">
        <v>0</v>
      </c>
      <c r="M81" s="18" t="n">
        <v>0</v>
      </c>
      <c r="N81" s="20" t="n">
        <v>0</v>
      </c>
      <c r="O81" s="18" t="n">
        <v>0</v>
      </c>
      <c r="P81" s="20" t="n">
        <v>0</v>
      </c>
      <c r="Q81" s="18" t="n">
        <v>1.0134087</v>
      </c>
      <c r="R81" s="20" t="n">
        <v>0.50411037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(6252.0/B7*100)</f>
        <v/>
      </c>
      <c r="D7" s="19" t="n">
        <v>911</v>
      </c>
      <c r="E7" s="18" t="n">
        <v>50.09536386</v>
      </c>
      <c r="F7" s="20" t="n">
        <v>1.96018039</v>
      </c>
      <c r="G7" s="18" t="n">
        <v>48.67465979</v>
      </c>
      <c r="H7" s="20" t="n">
        <v>2.01284218</v>
      </c>
      <c r="I7" s="18" t="s">
        <v>349</v>
      </c>
      <c r="J7" s="20" t="s">
        <v>349</v>
      </c>
      <c r="K7" s="18" t="n">
        <v>0.13587625</v>
      </c>
      <c r="L7" s="20" t="n">
        <v>0.08628497</v>
      </c>
      <c r="M7" s="18" t="n">
        <v>0</v>
      </c>
      <c r="N7" s="20" t="n">
        <v>0</v>
      </c>
      <c r="O7" s="18" t="n">
        <v>0</v>
      </c>
      <c r="P7" s="20" t="n">
        <v>0</v>
      </c>
      <c r="Q7" s="18" t="n">
        <v>1.0941001</v>
      </c>
      <c r="R7" s="20" t="n">
        <v>0.36048311</v>
      </c>
    </row>
    <row r="8" spans="1:18">
      <c r="A8" s="15" t="s">
        <v>350</v>
      </c>
      <c r="B8" s="17" t="n">
        <v>3443</v>
      </c>
      <c r="C8" s="18">
        <f>(3032.0/B8*100)</f>
        <v/>
      </c>
      <c r="D8" s="19" t="n">
        <v>411</v>
      </c>
      <c r="E8" s="18" t="n">
        <v>49.06155505</v>
      </c>
      <c r="F8" s="20" t="n">
        <v>2.53509696</v>
      </c>
      <c r="G8" s="18" t="n">
        <v>45.10054104</v>
      </c>
      <c r="H8" s="20" t="n">
        <v>2.32014114</v>
      </c>
      <c r="I8" s="18" t="s">
        <v>349</v>
      </c>
      <c r="J8" s="20" t="s">
        <v>349</v>
      </c>
      <c r="K8" s="18" t="n">
        <v>0.1252924</v>
      </c>
      <c r="L8" s="20" t="n">
        <v>0.12811664</v>
      </c>
      <c r="M8" s="18" t="n">
        <v>0</v>
      </c>
      <c r="N8" s="20" t="n">
        <v>0</v>
      </c>
      <c r="O8" s="18" t="n">
        <v>0</v>
      </c>
      <c r="P8" s="20" t="n">
        <v>0</v>
      </c>
      <c r="Q8" s="18" t="n">
        <v>5.71261151</v>
      </c>
      <c r="R8" s="20" t="n">
        <v>1.26029509</v>
      </c>
    </row>
    <row r="9" spans="1:18">
      <c r="A9" s="15" t="s">
        <v>351</v>
      </c>
      <c r="B9" s="17" t="n">
        <v>4752</v>
      </c>
      <c r="C9" s="18">
        <f>(4174.0/B9*100)</f>
        <v/>
      </c>
      <c r="D9" s="19" t="n">
        <v>578</v>
      </c>
      <c r="E9" s="18" t="n">
        <v>51.45509669</v>
      </c>
      <c r="F9" s="20" t="n">
        <v>2.03743591</v>
      </c>
      <c r="G9" s="18" t="n">
        <v>45.10444341</v>
      </c>
      <c r="H9" s="20" t="n">
        <v>2.27561736</v>
      </c>
      <c r="I9" s="18" t="s">
        <v>349</v>
      </c>
      <c r="J9" s="20" t="s">
        <v>349</v>
      </c>
      <c r="K9" s="18" t="n">
        <v>0.31892911</v>
      </c>
      <c r="L9" s="20" t="n">
        <v>0.24298205</v>
      </c>
      <c r="M9" s="18" t="n">
        <v>0</v>
      </c>
      <c r="N9" s="20" t="n">
        <v>0</v>
      </c>
      <c r="O9" s="18" t="n">
        <v>0</v>
      </c>
      <c r="P9" s="20" t="n">
        <v>0</v>
      </c>
      <c r="Q9" s="18" t="n">
        <v>3.12153079</v>
      </c>
      <c r="R9" s="20" t="n">
        <v>0.77511715</v>
      </c>
    </row>
    <row r="10" spans="1:18">
      <c r="A10" s="15" t="s">
        <v>352</v>
      </c>
      <c r="B10" s="17" t="n">
        <v>10022</v>
      </c>
      <c r="C10" s="18">
        <f>(8828.0/B10*100)</f>
        <v/>
      </c>
      <c r="D10" s="19" t="n">
        <v>1194</v>
      </c>
      <c r="E10" s="18" t="n">
        <v>48.66986629</v>
      </c>
      <c r="F10" s="20" t="n">
        <v>1.93246824</v>
      </c>
      <c r="G10" s="18" t="n">
        <v>49.6569305</v>
      </c>
      <c r="H10" s="20" t="n">
        <v>2.04733272</v>
      </c>
      <c r="I10" s="18" t="s">
        <v>349</v>
      </c>
      <c r="J10" s="20" t="s">
        <v>349</v>
      </c>
      <c r="K10" s="18" t="n">
        <v>0.44869987</v>
      </c>
      <c r="L10" s="20" t="n">
        <v>0.32061721</v>
      </c>
      <c r="M10" s="18" t="n">
        <v>0</v>
      </c>
      <c r="N10" s="20" t="n">
        <v>0</v>
      </c>
      <c r="O10" s="18" t="n">
        <v>0</v>
      </c>
      <c r="P10" s="20" t="n">
        <v>0</v>
      </c>
      <c r="Q10" s="18" t="n">
        <v>1.22450333</v>
      </c>
      <c r="R10" s="20" t="n">
        <v>0.39020183</v>
      </c>
    </row>
    <row r="11" spans="1:18">
      <c r="A11" s="15" t="s">
        <v>353</v>
      </c>
      <c r="B11" s="17" t="n">
        <v>3500</v>
      </c>
      <c r="C11" s="18">
        <f>(3082.0/B11*100)</f>
        <v/>
      </c>
      <c r="D11" s="19" t="n">
        <v>418</v>
      </c>
      <c r="E11" s="18" t="n">
        <v>59.36176896</v>
      </c>
      <c r="F11" s="20" t="n">
        <v>2.52174067</v>
      </c>
      <c r="G11" s="18" t="n">
        <v>35.36794908</v>
      </c>
      <c r="H11" s="20" t="n">
        <v>2.30237373</v>
      </c>
      <c r="I11" s="18" t="s">
        <v>349</v>
      </c>
      <c r="J11" s="20" t="s">
        <v>349</v>
      </c>
      <c r="K11" s="18" t="n">
        <v>1.00436276</v>
      </c>
      <c r="L11" s="20" t="n">
        <v>0.32306139</v>
      </c>
      <c r="M11" s="18" t="n">
        <v>0</v>
      </c>
      <c r="N11" s="20" t="n">
        <v>0</v>
      </c>
      <c r="O11" s="18" t="n">
        <v>0</v>
      </c>
      <c r="P11" s="20" t="n">
        <v>0</v>
      </c>
      <c r="Q11" s="18" t="n">
        <v>4.2659192</v>
      </c>
      <c r="R11" s="20" t="n">
        <v>1.07926442</v>
      </c>
    </row>
    <row r="12" spans="1:18">
      <c r="A12" s="15" t="s">
        <v>354</v>
      </c>
      <c r="B12" s="17" t="n">
        <v>3422</v>
      </c>
      <c r="C12" s="18">
        <f>(3004.0/B12*100)</f>
        <v/>
      </c>
      <c r="D12" s="19" t="n">
        <v>418</v>
      </c>
      <c r="E12" s="18" t="n">
        <v>62.0294017</v>
      </c>
      <c r="F12" s="20" t="n">
        <v>2.57596446</v>
      </c>
      <c r="G12" s="18" t="n">
        <v>35.55335238</v>
      </c>
      <c r="H12" s="20" t="n">
        <v>2.48399547</v>
      </c>
      <c r="I12" s="18" t="s">
        <v>349</v>
      </c>
      <c r="J12" s="20" t="s">
        <v>349</v>
      </c>
      <c r="K12" s="18" t="n">
        <v>0.24526158</v>
      </c>
      <c r="L12" s="20" t="n">
        <v>0.2601244</v>
      </c>
      <c r="M12" s="18" t="n">
        <v>0</v>
      </c>
      <c r="N12" s="20" t="n">
        <v>0</v>
      </c>
      <c r="O12" s="18" t="n">
        <v>0</v>
      </c>
      <c r="P12" s="20" t="n">
        <v>0</v>
      </c>
      <c r="Q12" s="18" t="n">
        <v>2.17198435</v>
      </c>
      <c r="R12" s="20" t="n">
        <v>0.709782</v>
      </c>
    </row>
    <row r="13" spans="1:18">
      <c r="A13" s="15" t="s">
        <v>355</v>
      </c>
      <c r="B13" s="17" t="n">
        <v>3602</v>
      </c>
      <c r="C13" s="18">
        <f>(3200.0/B13*100)</f>
        <v/>
      </c>
      <c r="D13" s="19" t="n">
        <v>402</v>
      </c>
      <c r="E13" s="18" t="n">
        <v>50.81971036</v>
      </c>
      <c r="F13" s="20" t="n">
        <v>3.20328786</v>
      </c>
      <c r="G13" s="18" t="n">
        <v>46.70685837</v>
      </c>
      <c r="H13" s="20" t="n">
        <v>3.54980169</v>
      </c>
      <c r="I13" s="18" t="s">
        <v>349</v>
      </c>
      <c r="J13" s="20" t="s">
        <v>349</v>
      </c>
      <c r="K13" s="18" t="n">
        <v>0.7765181</v>
      </c>
      <c r="L13" s="20" t="n">
        <v>0.58991655</v>
      </c>
      <c r="M13" s="18" t="n">
        <v>0</v>
      </c>
      <c r="N13" s="20" t="n">
        <v>0</v>
      </c>
      <c r="O13" s="18" t="n">
        <v>0</v>
      </c>
      <c r="P13" s="20" t="n">
        <v>0</v>
      </c>
      <c r="Q13" s="18" t="n">
        <v>1.69691317</v>
      </c>
      <c r="R13" s="20" t="n">
        <v>0.86595867</v>
      </c>
    </row>
    <row r="14" spans="1:18">
      <c r="A14" s="15" t="s">
        <v>356</v>
      </c>
      <c r="B14" s="17" t="n">
        <v>2788</v>
      </c>
      <c r="C14" s="18">
        <f>(2434.0/B14*100)</f>
        <v/>
      </c>
      <c r="D14" s="19" t="n">
        <v>354</v>
      </c>
      <c r="E14" s="18" t="n">
        <v>53.37309482</v>
      </c>
      <c r="F14" s="20" t="n">
        <v>2.75645442</v>
      </c>
      <c r="G14" s="18" t="n">
        <v>45.40395778</v>
      </c>
      <c r="H14" s="20" t="n">
        <v>2.8741011</v>
      </c>
      <c r="I14" s="18" t="s">
        <v>349</v>
      </c>
      <c r="J14" s="20" t="s">
        <v>349</v>
      </c>
      <c r="K14" s="18" t="n">
        <v>0</v>
      </c>
      <c r="L14" s="20" t="n">
        <v>0</v>
      </c>
      <c r="M14" s="18" t="n">
        <v>0</v>
      </c>
      <c r="N14" s="20" t="n">
        <v>0</v>
      </c>
      <c r="O14" s="18" t="n">
        <v>0</v>
      </c>
      <c r="P14" s="20" t="n">
        <v>0</v>
      </c>
      <c r="Q14" s="18" t="n">
        <v>1.22294741</v>
      </c>
      <c r="R14" s="20" t="n">
        <v>0.55140109</v>
      </c>
    </row>
    <row r="15" spans="1:18">
      <c r="A15" s="15" t="s">
        <v>357</v>
      </c>
      <c r="B15" s="17" t="n">
        <v>2863</v>
      </c>
      <c r="C15" s="18">
        <f>(2498.0/B15*100)</f>
        <v/>
      </c>
      <c r="D15" s="19" t="n">
        <v>365</v>
      </c>
      <c r="E15" s="18" t="n">
        <v>45.82068192</v>
      </c>
      <c r="F15" s="20" t="n">
        <v>2.96396325</v>
      </c>
      <c r="G15" s="18" t="n">
        <v>53.36058553</v>
      </c>
      <c r="H15" s="20" t="n">
        <v>2.96455686</v>
      </c>
      <c r="I15" s="18" t="s">
        <v>349</v>
      </c>
      <c r="J15" s="20" t="s">
        <v>349</v>
      </c>
      <c r="K15" s="18" t="n">
        <v>0.29408369</v>
      </c>
      <c r="L15" s="20" t="n">
        <v>0.27880665</v>
      </c>
      <c r="M15" s="18" t="n">
        <v>0</v>
      </c>
      <c r="N15" s="20" t="n">
        <v>0</v>
      </c>
      <c r="O15" s="18" t="n">
        <v>0</v>
      </c>
      <c r="P15" s="20" t="n">
        <v>0</v>
      </c>
      <c r="Q15" s="18" t="n">
        <v>0.52464886</v>
      </c>
      <c r="R15" s="20" t="n">
        <v>0.34956931</v>
      </c>
    </row>
    <row r="16" spans="1:18">
      <c r="A16" s="15" t="s">
        <v>358</v>
      </c>
      <c r="B16" s="17" t="n">
        <v>3111</v>
      </c>
      <c r="C16" s="18">
        <f>(2730.0/B16*100)</f>
        <v/>
      </c>
      <c r="D16" s="19" t="n">
        <v>381</v>
      </c>
      <c r="E16" s="18" t="n">
        <v>63.66531049</v>
      </c>
      <c r="F16" s="20" t="n">
        <v>2.3445058</v>
      </c>
      <c r="G16" s="18" t="n">
        <v>30.54103364</v>
      </c>
      <c r="H16" s="20" t="n">
        <v>2.19036452</v>
      </c>
      <c r="I16" s="18" t="s">
        <v>349</v>
      </c>
      <c r="J16" s="20" t="s">
        <v>349</v>
      </c>
      <c r="K16" s="18" t="n">
        <v>1.58559552</v>
      </c>
      <c r="L16" s="20" t="n">
        <v>0.82211631</v>
      </c>
      <c r="M16" s="18" t="n">
        <v>0</v>
      </c>
      <c r="N16" s="20" t="n">
        <v>0</v>
      </c>
      <c r="O16" s="18" t="n">
        <v>0</v>
      </c>
      <c r="P16" s="20" t="n">
        <v>0</v>
      </c>
      <c r="Q16" s="18" t="n">
        <v>4.20806036</v>
      </c>
      <c r="R16" s="20" t="n">
        <v>1.04874383</v>
      </c>
    </row>
    <row r="17" spans="1:18">
      <c r="A17" s="15" t="s">
        <v>359</v>
      </c>
      <c r="B17" s="17" t="n">
        <v>3197</v>
      </c>
      <c r="C17" s="18">
        <f>(2814.0/B17*100)</f>
        <v/>
      </c>
      <c r="D17" s="19" t="n">
        <v>383</v>
      </c>
      <c r="E17" s="18" t="n">
        <v>46.4723049</v>
      </c>
      <c r="F17" s="20" t="n">
        <v>2.70363484</v>
      </c>
      <c r="G17" s="18" t="n">
        <v>51.43727096</v>
      </c>
      <c r="H17" s="20" t="n">
        <v>2.76773233</v>
      </c>
      <c r="I17" s="18" t="s">
        <v>349</v>
      </c>
      <c r="J17" s="20" t="s">
        <v>349</v>
      </c>
      <c r="K17" s="18" t="n">
        <v>0.52073139</v>
      </c>
      <c r="L17" s="20" t="n">
        <v>0.36963626</v>
      </c>
      <c r="M17" s="18" t="n">
        <v>0</v>
      </c>
      <c r="N17" s="20" t="n">
        <v>0</v>
      </c>
      <c r="O17" s="18" t="n">
        <v>0</v>
      </c>
      <c r="P17" s="20" t="n">
        <v>0</v>
      </c>
      <c r="Q17" s="18" t="n">
        <v>1.56969275</v>
      </c>
      <c r="R17" s="20" t="n">
        <v>0.67374639</v>
      </c>
    </row>
    <row r="18" spans="1:18">
      <c r="A18" s="15" t="s">
        <v>360</v>
      </c>
      <c r="B18" s="17" t="n">
        <v>2706</v>
      </c>
      <c r="C18" s="18">
        <f>(2390.0/B18*100)</f>
        <v/>
      </c>
      <c r="D18" s="19" t="n">
        <v>316</v>
      </c>
      <c r="E18" s="18" t="n">
        <v>51.27405838</v>
      </c>
      <c r="F18" s="20" t="n">
        <v>2.86315273</v>
      </c>
      <c r="G18" s="18" t="n">
        <v>45.09553676</v>
      </c>
      <c r="H18" s="20" t="n">
        <v>2.86384777</v>
      </c>
      <c r="I18" s="18" t="s">
        <v>349</v>
      </c>
      <c r="J18" s="20" t="s">
        <v>349</v>
      </c>
      <c r="K18" s="18" t="n">
        <v>1.10739166</v>
      </c>
      <c r="L18" s="20" t="n">
        <v>0.52045882</v>
      </c>
      <c r="M18" s="18" t="n">
        <v>0</v>
      </c>
      <c r="N18" s="20" t="n">
        <v>0</v>
      </c>
      <c r="O18" s="18" t="n">
        <v>0</v>
      </c>
      <c r="P18" s="20" t="n">
        <v>0</v>
      </c>
      <c r="Q18" s="18" t="n">
        <v>2.5230132</v>
      </c>
      <c r="R18" s="20" t="n">
        <v>0.92629942</v>
      </c>
    </row>
    <row r="19" spans="1:18">
      <c r="A19" s="15" t="s">
        <v>361</v>
      </c>
      <c r="B19" s="17" t="n">
        <v>2850</v>
      </c>
      <c r="C19" s="18">
        <f>(2491.0/B19*100)</f>
        <v/>
      </c>
      <c r="D19" s="19" t="n">
        <v>359</v>
      </c>
      <c r="E19" s="18" t="n">
        <v>57.41489264</v>
      </c>
      <c r="F19" s="20" t="n">
        <v>2.6857654</v>
      </c>
      <c r="G19" s="18" t="n">
        <v>40.38274159</v>
      </c>
      <c r="H19" s="20" t="n">
        <v>2.54079085</v>
      </c>
      <c r="I19" s="18" t="s">
        <v>349</v>
      </c>
      <c r="J19" s="20" t="s">
        <v>349</v>
      </c>
      <c r="K19" s="18" t="n">
        <v>0.48998181</v>
      </c>
      <c r="L19" s="20" t="n">
        <v>0.30286032</v>
      </c>
      <c r="M19" s="18" t="n">
        <v>0</v>
      </c>
      <c r="N19" s="20" t="n">
        <v>0</v>
      </c>
      <c r="O19" s="18" t="n">
        <v>0</v>
      </c>
      <c r="P19" s="20" t="n">
        <v>0</v>
      </c>
      <c r="Q19" s="18" t="n">
        <v>1.71238396</v>
      </c>
      <c r="R19" s="20" t="n">
        <v>0.85811898</v>
      </c>
    </row>
    <row r="20" spans="1:18">
      <c r="A20" s="15" t="s">
        <v>362</v>
      </c>
      <c r="B20" s="17" t="n">
        <v>1741</v>
      </c>
      <c r="C20" s="18">
        <f>(1522.0/B20*100)</f>
        <v/>
      </c>
      <c r="D20" s="19" t="n">
        <v>219</v>
      </c>
      <c r="E20" s="18" t="n">
        <v>51.3943755</v>
      </c>
      <c r="F20" s="20" t="n">
        <v>3.55367358</v>
      </c>
      <c r="G20" s="18" t="n">
        <v>44.78736654</v>
      </c>
      <c r="H20" s="20" t="n">
        <v>3.52659603</v>
      </c>
      <c r="I20" s="18" t="s">
        <v>349</v>
      </c>
      <c r="J20" s="20" t="s">
        <v>349</v>
      </c>
      <c r="K20" s="18" t="n">
        <v>0</v>
      </c>
      <c r="L20" s="20" t="n">
        <v>0</v>
      </c>
      <c r="M20" s="18" t="n">
        <v>0</v>
      </c>
      <c r="N20" s="20" t="n">
        <v>0</v>
      </c>
      <c r="O20" s="18" t="n">
        <v>0</v>
      </c>
      <c r="P20" s="20" t="n">
        <v>0</v>
      </c>
      <c r="Q20" s="18" t="n">
        <v>3.81825796</v>
      </c>
      <c r="R20" s="20" t="n">
        <v>1.33580556</v>
      </c>
    </row>
    <row r="21" spans="1:18">
      <c r="A21" s="15" t="s">
        <v>363</v>
      </c>
      <c r="B21" s="17" t="n">
        <v>2833</v>
      </c>
      <c r="C21" s="18">
        <f>(2375.0/B21*100)</f>
        <v/>
      </c>
      <c r="D21" s="19" t="n">
        <v>458</v>
      </c>
      <c r="E21" s="18" t="n">
        <v>48.09349012</v>
      </c>
      <c r="F21" s="20" t="n">
        <v>2.45990421</v>
      </c>
      <c r="G21" s="18" t="n">
        <v>50.48402786</v>
      </c>
      <c r="H21" s="20" t="n">
        <v>2.49525537</v>
      </c>
      <c r="I21" s="18" t="s">
        <v>349</v>
      </c>
      <c r="J21" s="20" t="s">
        <v>349</v>
      </c>
      <c r="K21" s="18" t="n">
        <v>0.37273303</v>
      </c>
      <c r="L21" s="20" t="n">
        <v>0.25954604</v>
      </c>
      <c r="M21" s="18" t="n">
        <v>0</v>
      </c>
      <c r="N21" s="20" t="n">
        <v>0</v>
      </c>
      <c r="O21" s="18" t="n">
        <v>0</v>
      </c>
      <c r="P21" s="20" t="n">
        <v>0</v>
      </c>
      <c r="Q21" s="18" t="n">
        <v>1.049749</v>
      </c>
      <c r="R21" s="20" t="n">
        <v>0.45019109</v>
      </c>
    </row>
    <row r="22" spans="1:18">
      <c r="A22" s="15" t="s">
        <v>364</v>
      </c>
      <c r="B22" s="17" t="n">
        <v>3667</v>
      </c>
      <c r="C22" s="18">
        <f>(3205.0/B22*100)</f>
        <v/>
      </c>
      <c r="D22" s="19" t="n">
        <v>462</v>
      </c>
      <c r="E22" s="18" t="n">
        <v>55.61463212</v>
      </c>
      <c r="F22" s="20" t="n">
        <v>2.13015146</v>
      </c>
      <c r="G22" s="18" t="n">
        <v>41.33367649</v>
      </c>
      <c r="H22" s="20" t="n">
        <v>2.10289907</v>
      </c>
      <c r="I22" s="18" t="s">
        <v>349</v>
      </c>
      <c r="J22" s="20" t="s">
        <v>349</v>
      </c>
      <c r="K22" s="18" t="n">
        <v>1.01681075</v>
      </c>
      <c r="L22" s="20" t="n">
        <v>0.45763674</v>
      </c>
      <c r="M22" s="18" t="n">
        <v>0</v>
      </c>
      <c r="N22" s="20" t="n">
        <v>0</v>
      </c>
      <c r="O22" s="18" t="n">
        <v>0</v>
      </c>
      <c r="P22" s="20" t="n">
        <v>0</v>
      </c>
      <c r="Q22" s="18" t="n">
        <v>2.03488065</v>
      </c>
      <c r="R22" s="20" t="n">
        <v>0.61478223</v>
      </c>
    </row>
    <row r="23" spans="1:18">
      <c r="A23" s="15" t="s">
        <v>365</v>
      </c>
      <c r="B23" s="17" t="n">
        <v>5792</v>
      </c>
      <c r="C23" s="18">
        <f>(5053.0/B23*100)</f>
        <v/>
      </c>
      <c r="D23" s="19" t="n">
        <v>739</v>
      </c>
      <c r="E23" s="18" t="n">
        <v>56.55914932</v>
      </c>
      <c r="F23" s="20" t="n">
        <v>2.73752131</v>
      </c>
      <c r="G23" s="18" t="n">
        <v>40.88120973</v>
      </c>
      <c r="H23" s="20" t="n">
        <v>2.79418484</v>
      </c>
      <c r="I23" s="18" t="s">
        <v>349</v>
      </c>
      <c r="J23" s="20" t="s">
        <v>349</v>
      </c>
      <c r="K23" s="18" t="n">
        <v>1.0112675</v>
      </c>
      <c r="L23" s="20" t="n">
        <v>0.57011174</v>
      </c>
      <c r="M23" s="18" t="n">
        <v>0</v>
      </c>
      <c r="N23" s="20" t="n">
        <v>0</v>
      </c>
      <c r="O23" s="18" t="n">
        <v>0</v>
      </c>
      <c r="P23" s="20" t="n">
        <v>0</v>
      </c>
      <c r="Q23" s="18" t="n">
        <v>1.54837345</v>
      </c>
      <c r="R23" s="20" t="n">
        <v>0.58355927</v>
      </c>
    </row>
    <row r="24" spans="1:18">
      <c r="A24" s="15" t="s">
        <v>366</v>
      </c>
      <c r="B24" s="17" t="n">
        <v>3309</v>
      </c>
      <c r="C24" s="18">
        <f>(2883.0/B24*100)</f>
        <v/>
      </c>
      <c r="D24" s="19" t="n">
        <v>426</v>
      </c>
      <c r="E24" s="18" t="n">
        <v>47.24691194</v>
      </c>
      <c r="F24" s="20" t="n">
        <v>2.04762349</v>
      </c>
      <c r="G24" s="18" t="n">
        <v>51.83836385</v>
      </c>
      <c r="H24" s="20" t="n">
        <v>2.16954858</v>
      </c>
      <c r="I24" s="18" t="s">
        <v>349</v>
      </c>
      <c r="J24" s="20" t="s">
        <v>349</v>
      </c>
      <c r="K24" s="18" t="n">
        <v>0.21364264</v>
      </c>
      <c r="L24" s="20" t="n">
        <v>0.2130343</v>
      </c>
      <c r="M24" s="18" t="n">
        <v>0</v>
      </c>
      <c r="N24" s="20" t="n">
        <v>0</v>
      </c>
      <c r="O24" s="18" t="n">
        <v>0</v>
      </c>
      <c r="P24" s="20" t="n">
        <v>0</v>
      </c>
      <c r="Q24" s="18" t="n">
        <v>0.70108157</v>
      </c>
      <c r="R24" s="20" t="n">
        <v>0.39624343</v>
      </c>
    </row>
    <row r="25" spans="1:18">
      <c r="A25" s="15" t="s">
        <v>367</v>
      </c>
      <c r="B25" s="17" t="n">
        <v>2669</v>
      </c>
      <c r="C25" s="18">
        <f>(2340.0/B25*100)</f>
        <v/>
      </c>
      <c r="D25" s="19" t="n">
        <v>329</v>
      </c>
      <c r="E25" s="18" t="n">
        <v>42.58272088</v>
      </c>
      <c r="F25" s="20" t="n">
        <v>2.94670611</v>
      </c>
      <c r="G25" s="18" t="n">
        <v>57.12635033</v>
      </c>
      <c r="H25" s="20" t="n">
        <v>2.94424113</v>
      </c>
      <c r="I25" s="18" t="s">
        <v>349</v>
      </c>
      <c r="J25" s="20" t="s">
        <v>349</v>
      </c>
      <c r="K25" s="18" t="n">
        <v>0</v>
      </c>
      <c r="L25" s="20" t="n">
        <v>0</v>
      </c>
      <c r="M25" s="18" t="n">
        <v>0</v>
      </c>
      <c r="N25" s="20" t="n">
        <v>0</v>
      </c>
      <c r="O25" s="18" t="n">
        <v>0</v>
      </c>
      <c r="P25" s="20" t="n">
        <v>0</v>
      </c>
      <c r="Q25" s="18" t="n">
        <v>0.29092879</v>
      </c>
      <c r="R25" s="20" t="n">
        <v>0.29171257</v>
      </c>
    </row>
    <row r="26" spans="1:18">
      <c r="A26" s="15" t="s">
        <v>368</v>
      </c>
      <c r="B26" s="17" t="n">
        <v>2419</v>
      </c>
      <c r="C26" s="18">
        <f>(2121.0/B26*100)</f>
        <v/>
      </c>
      <c r="D26" s="19" t="n">
        <v>298</v>
      </c>
      <c r="E26" s="18" t="n">
        <v>61.15125452</v>
      </c>
      <c r="F26" s="20" t="n">
        <v>3.08322952</v>
      </c>
      <c r="G26" s="18" t="n">
        <v>38.54465009</v>
      </c>
      <c r="H26" s="20" t="n">
        <v>3.08707282</v>
      </c>
      <c r="I26" s="18" t="s">
        <v>349</v>
      </c>
      <c r="J26" s="20" t="s">
        <v>349</v>
      </c>
      <c r="K26" s="18" t="n">
        <v>0</v>
      </c>
      <c r="L26" s="20" t="n">
        <v>0</v>
      </c>
      <c r="M26" s="18" t="n">
        <v>0</v>
      </c>
      <c r="N26" s="20" t="n">
        <v>0</v>
      </c>
      <c r="O26" s="18" t="n">
        <v>0</v>
      </c>
      <c r="P26" s="20" t="n">
        <v>0</v>
      </c>
      <c r="Q26" s="18" t="n">
        <v>0.30409539</v>
      </c>
      <c r="R26" s="20" t="n">
        <v>0.33274166</v>
      </c>
    </row>
    <row r="27" spans="1:18">
      <c r="A27" s="15" t="s">
        <v>369</v>
      </c>
      <c r="B27" s="17" t="n">
        <v>2683</v>
      </c>
      <c r="C27" s="18">
        <f>(2365.0/B27*100)</f>
        <v/>
      </c>
      <c r="D27" s="19" t="n">
        <v>318</v>
      </c>
      <c r="E27" s="18" t="n">
        <v>56.03192287</v>
      </c>
      <c r="F27" s="20" t="n">
        <v>3.09912523</v>
      </c>
      <c r="G27" s="18" t="n">
        <v>41.44494944</v>
      </c>
      <c r="H27" s="20" t="n">
        <v>2.97135317</v>
      </c>
      <c r="I27" s="18" t="s">
        <v>349</v>
      </c>
      <c r="J27" s="20" t="s">
        <v>349</v>
      </c>
      <c r="K27" s="18" t="n">
        <v>0</v>
      </c>
      <c r="L27" s="20" t="n">
        <v>0</v>
      </c>
      <c r="M27" s="18" t="n">
        <v>0</v>
      </c>
      <c r="N27" s="20" t="n">
        <v>0</v>
      </c>
      <c r="O27" s="18" t="n">
        <v>0</v>
      </c>
      <c r="P27" s="20" t="n">
        <v>0</v>
      </c>
      <c r="Q27" s="18" t="n">
        <v>2.52312769</v>
      </c>
      <c r="R27" s="20" t="n">
        <v>0.87199164</v>
      </c>
    </row>
    <row r="28" spans="1:18">
      <c r="A28" s="15" t="s">
        <v>370</v>
      </c>
      <c r="B28" s="17" t="n">
        <v>3803</v>
      </c>
      <c r="C28" s="18">
        <f>(3367.0/B28*100)</f>
        <v/>
      </c>
      <c r="D28" s="19" t="n">
        <v>436</v>
      </c>
      <c r="E28" s="18" t="n">
        <v>75.23929273</v>
      </c>
      <c r="F28" s="20" t="n">
        <v>2.30525127</v>
      </c>
      <c r="G28" s="18" t="n">
        <v>23.25564538</v>
      </c>
      <c r="H28" s="20" t="n">
        <v>2.26339857</v>
      </c>
      <c r="I28" s="18" t="s">
        <v>349</v>
      </c>
      <c r="J28" s="20" t="s">
        <v>349</v>
      </c>
      <c r="K28" s="18" t="n">
        <v>0</v>
      </c>
      <c r="L28" s="20" t="n">
        <v>0</v>
      </c>
      <c r="M28" s="18" t="n">
        <v>0</v>
      </c>
      <c r="N28" s="20" t="n">
        <v>0</v>
      </c>
      <c r="O28" s="18" t="n">
        <v>0</v>
      </c>
      <c r="P28" s="20" t="n">
        <v>0</v>
      </c>
      <c r="Q28" s="18" t="n">
        <v>1.5050619</v>
      </c>
      <c r="R28" s="20" t="n">
        <v>0.76894511</v>
      </c>
    </row>
    <row r="29" spans="1:18">
      <c r="A29" s="15" t="s">
        <v>371</v>
      </c>
      <c r="B29" s="17" t="n">
        <v>2700</v>
      </c>
      <c r="C29" s="18">
        <f>(2389.0/B29*100)</f>
        <v/>
      </c>
      <c r="D29" s="19" t="n">
        <v>311</v>
      </c>
      <c r="E29" s="18" t="n">
        <v>47.07111014</v>
      </c>
      <c r="F29" s="20" t="n">
        <v>3.03742875</v>
      </c>
      <c r="G29" s="18" t="n">
        <v>52.53174753</v>
      </c>
      <c r="H29" s="20" t="n">
        <v>3.01299839</v>
      </c>
      <c r="I29" s="18" t="s">
        <v>349</v>
      </c>
      <c r="J29" s="20" t="s">
        <v>349</v>
      </c>
      <c r="K29" s="18" t="n">
        <v>0</v>
      </c>
      <c r="L29" s="20" t="n">
        <v>0</v>
      </c>
      <c r="M29" s="18" t="n">
        <v>0</v>
      </c>
      <c r="N29" s="20" t="n">
        <v>0</v>
      </c>
      <c r="O29" s="18" t="n">
        <v>0</v>
      </c>
      <c r="P29" s="20" t="n">
        <v>0</v>
      </c>
      <c r="Q29" s="18" t="n">
        <v>0.39714233</v>
      </c>
      <c r="R29" s="20" t="n">
        <v>0.50936042</v>
      </c>
    </row>
    <row r="30" spans="1:18">
      <c r="A30" s="15" t="s">
        <v>372</v>
      </c>
      <c r="B30" s="17" t="n">
        <v>2257</v>
      </c>
      <c r="C30" s="18">
        <f>(1970.0/B30*100)</f>
        <v/>
      </c>
      <c r="D30" s="19" t="n">
        <v>287</v>
      </c>
      <c r="E30" s="18" t="n">
        <v>47.80191597</v>
      </c>
      <c r="F30" s="20" t="n">
        <v>2.97161953</v>
      </c>
      <c r="G30" s="18" t="n">
        <v>48.10512663</v>
      </c>
      <c r="H30" s="20" t="n">
        <v>2.82861238</v>
      </c>
      <c r="I30" s="18" t="s">
        <v>349</v>
      </c>
      <c r="J30" s="20" t="s">
        <v>349</v>
      </c>
      <c r="K30" s="18" t="n">
        <v>0.32952172</v>
      </c>
      <c r="L30" s="20" t="n">
        <v>0.29418648</v>
      </c>
      <c r="M30" s="18" t="n">
        <v>0</v>
      </c>
      <c r="N30" s="20" t="n">
        <v>0</v>
      </c>
      <c r="O30" s="18" t="n">
        <v>0</v>
      </c>
      <c r="P30" s="20" t="n">
        <v>0</v>
      </c>
      <c r="Q30" s="18" t="n">
        <v>3.76343568</v>
      </c>
      <c r="R30" s="20" t="n">
        <v>1.17262471</v>
      </c>
    </row>
    <row r="31" spans="1:18">
      <c r="A31" s="15" t="s">
        <v>373</v>
      </c>
      <c r="B31" s="17" t="n">
        <v>2706</v>
      </c>
      <c r="C31" s="18">
        <f>(2373.0/B31*100)</f>
        <v/>
      </c>
      <c r="D31" s="19" t="n">
        <v>333</v>
      </c>
      <c r="E31" s="18" t="n">
        <v>51.03495989</v>
      </c>
      <c r="F31" s="20" t="n">
        <v>2.82130052</v>
      </c>
      <c r="G31" s="18" t="n">
        <v>45.21236237</v>
      </c>
      <c r="H31" s="20" t="n">
        <v>3.08687797</v>
      </c>
      <c r="I31" s="18" t="s">
        <v>349</v>
      </c>
      <c r="J31" s="20" t="s">
        <v>349</v>
      </c>
      <c r="K31" s="18" t="n">
        <v>0.92032424</v>
      </c>
      <c r="L31" s="20" t="n">
        <v>0.53357203</v>
      </c>
      <c r="M31" s="18" t="n">
        <v>0</v>
      </c>
      <c r="N31" s="20" t="n">
        <v>0</v>
      </c>
      <c r="O31" s="18" t="n">
        <v>0</v>
      </c>
      <c r="P31" s="20" t="n">
        <v>0</v>
      </c>
      <c r="Q31" s="18" t="n">
        <v>2.8323535</v>
      </c>
      <c r="R31" s="20" t="n">
        <v>0.89119689</v>
      </c>
    </row>
    <row r="32" spans="1:18">
      <c r="A32" s="15" t="s">
        <v>374</v>
      </c>
      <c r="B32" s="17" t="n">
        <v>2209</v>
      </c>
      <c r="C32" s="18">
        <f>(1857.0/B32*100)</f>
        <v/>
      </c>
      <c r="D32" s="19" t="n">
        <v>352</v>
      </c>
      <c r="E32" s="18" t="n">
        <v>55.78098824</v>
      </c>
      <c r="F32" s="20" t="n">
        <v>2.55060096</v>
      </c>
      <c r="G32" s="18" t="n">
        <v>43.32686866</v>
      </c>
      <c r="H32" s="20" t="n">
        <v>2.60295608</v>
      </c>
      <c r="I32" s="18" t="s">
        <v>349</v>
      </c>
      <c r="J32" s="20" t="s">
        <v>349</v>
      </c>
      <c r="K32" s="18" t="n">
        <v>0</v>
      </c>
      <c r="L32" s="20" t="n">
        <v>0</v>
      </c>
      <c r="M32" s="18" t="n">
        <v>0</v>
      </c>
      <c r="N32" s="20" t="n">
        <v>0</v>
      </c>
      <c r="O32" s="18" t="n">
        <v>0</v>
      </c>
      <c r="P32" s="20" t="n">
        <v>0</v>
      </c>
      <c r="Q32" s="18" t="n">
        <v>0.8921431</v>
      </c>
      <c r="R32" s="20" t="n">
        <v>0.5187752799999999</v>
      </c>
    </row>
    <row r="33" spans="1:18">
      <c r="A33" s="15" t="s">
        <v>375</v>
      </c>
      <c r="B33" s="17" t="n">
        <v>3651</v>
      </c>
      <c r="C33" s="18">
        <f>(3211.0/B33*100)</f>
        <v/>
      </c>
      <c r="D33" s="19" t="n">
        <v>440</v>
      </c>
      <c r="E33" s="18" t="n">
        <v>51.50091481</v>
      </c>
      <c r="F33" s="20" t="n">
        <v>2.63591272</v>
      </c>
      <c r="G33" s="18" t="n">
        <v>47.3640151</v>
      </c>
      <c r="H33" s="20" t="n">
        <v>2.65830209</v>
      </c>
      <c r="I33" s="18" t="s">
        <v>349</v>
      </c>
      <c r="J33" s="20" t="s">
        <v>349</v>
      </c>
      <c r="K33" s="18" t="n">
        <v>0.02493583</v>
      </c>
      <c r="L33" s="20" t="n">
        <v>0.02495772</v>
      </c>
      <c r="M33" s="18" t="n">
        <v>0</v>
      </c>
      <c r="N33" s="20" t="n">
        <v>0</v>
      </c>
      <c r="O33" s="18" t="n">
        <v>0</v>
      </c>
      <c r="P33" s="20" t="n">
        <v>0</v>
      </c>
      <c r="Q33" s="18" t="n">
        <v>1.11013426</v>
      </c>
      <c r="R33" s="20" t="n">
        <v>0.6120363</v>
      </c>
    </row>
    <row r="34" spans="1:18">
      <c r="A34" s="15" t="s">
        <v>376</v>
      </c>
      <c r="B34" s="17" t="n">
        <v>3035</v>
      </c>
      <c r="C34" s="18">
        <f>(2675.0/B34*100)</f>
        <v/>
      </c>
      <c r="D34" s="19" t="n">
        <v>360</v>
      </c>
      <c r="E34" s="18" t="n">
        <v>65.02713455</v>
      </c>
      <c r="F34" s="20" t="n">
        <v>3.0298561</v>
      </c>
      <c r="G34" s="18" t="n">
        <v>33.6026644</v>
      </c>
      <c r="H34" s="20" t="n">
        <v>3.02962598</v>
      </c>
      <c r="I34" s="18" t="s">
        <v>349</v>
      </c>
      <c r="J34" s="20" t="s">
        <v>349</v>
      </c>
      <c r="K34" s="18" t="n">
        <v>0</v>
      </c>
      <c r="L34" s="20" t="n">
        <v>0</v>
      </c>
      <c r="M34" s="18" t="n">
        <v>0</v>
      </c>
      <c r="N34" s="20" t="n">
        <v>0</v>
      </c>
      <c r="O34" s="18" t="n">
        <v>0</v>
      </c>
      <c r="P34" s="20" t="n">
        <v>0</v>
      </c>
      <c r="Q34" s="18" t="n">
        <v>1.37020104</v>
      </c>
      <c r="R34" s="20" t="n">
        <v>0.69036666</v>
      </c>
    </row>
    <row r="35" spans="1:18">
      <c r="A35" s="15" t="s">
        <v>377</v>
      </c>
      <c r="B35" s="17" t="n">
        <v>2901</v>
      </c>
      <c r="C35" s="18">
        <f>(2547.0/B35*100)</f>
        <v/>
      </c>
      <c r="D35" s="19" t="n">
        <v>354</v>
      </c>
      <c r="E35" s="18" t="n">
        <v>54.72855795</v>
      </c>
      <c r="F35" s="20" t="n">
        <v>3.30650716</v>
      </c>
      <c r="G35" s="18" t="n">
        <v>44.44743399</v>
      </c>
      <c r="H35" s="20" t="n">
        <v>3.28995953</v>
      </c>
      <c r="I35" s="18" t="s">
        <v>349</v>
      </c>
      <c r="J35" s="20" t="s">
        <v>349</v>
      </c>
      <c r="K35" s="18" t="n">
        <v>0</v>
      </c>
      <c r="L35" s="20" t="n">
        <v>0</v>
      </c>
      <c r="M35" s="18" t="n">
        <v>0</v>
      </c>
      <c r="N35" s="20" t="n">
        <v>0</v>
      </c>
      <c r="O35" s="18" t="n">
        <v>0</v>
      </c>
      <c r="P35" s="20" t="n">
        <v>0</v>
      </c>
      <c r="Q35" s="18" t="n">
        <v>0.82400806</v>
      </c>
      <c r="R35" s="20" t="n">
        <v>0.58138884</v>
      </c>
    </row>
    <row r="36" spans="1:18">
      <c r="A36" s="15" t="s">
        <v>378</v>
      </c>
      <c r="B36" s="17" t="n">
        <v>3404</v>
      </c>
      <c r="C36" s="18">
        <f>(3004.0/B36*100)</f>
        <v/>
      </c>
      <c r="D36" s="19" t="n">
        <v>400</v>
      </c>
      <c r="E36" s="18" t="n">
        <v>53.98174586</v>
      </c>
      <c r="F36" s="20" t="n">
        <v>2.42362601</v>
      </c>
      <c r="G36" s="18" t="n">
        <v>42.26401409</v>
      </c>
      <c r="H36" s="20" t="n">
        <v>2.40441344</v>
      </c>
      <c r="I36" s="18" t="s">
        <v>349</v>
      </c>
      <c r="J36" s="20" t="s">
        <v>349</v>
      </c>
      <c r="K36" s="18" t="n">
        <v>0.62963558</v>
      </c>
      <c r="L36" s="20" t="n">
        <v>0.47119366</v>
      </c>
      <c r="M36" s="18" t="n">
        <v>0</v>
      </c>
      <c r="N36" s="20" t="n">
        <v>0</v>
      </c>
      <c r="O36" s="18" t="n">
        <v>0</v>
      </c>
      <c r="P36" s="20" t="n">
        <v>0</v>
      </c>
      <c r="Q36" s="18" t="n">
        <v>3.12460446</v>
      </c>
      <c r="R36" s="20" t="n">
        <v>0.86639012</v>
      </c>
    </row>
    <row r="37" spans="1:18">
      <c r="A37" s="15" t="s">
        <v>379</v>
      </c>
      <c r="B37" s="17" t="n">
        <v>2731</v>
      </c>
      <c r="C37" s="18">
        <f>(2421.0/B37*100)</f>
        <v/>
      </c>
      <c r="D37" s="19" t="n">
        <v>310</v>
      </c>
      <c r="E37" s="18" t="n">
        <v>53.40300366</v>
      </c>
      <c r="F37" s="20" t="n">
        <v>2.90388699</v>
      </c>
      <c r="G37" s="18" t="n">
        <v>40.82249925</v>
      </c>
      <c r="H37" s="20" t="n">
        <v>3.0455127</v>
      </c>
      <c r="I37" s="18" t="s">
        <v>349</v>
      </c>
      <c r="J37" s="20" t="s">
        <v>349</v>
      </c>
      <c r="K37" s="18" t="n">
        <v>1.91165581</v>
      </c>
      <c r="L37" s="20" t="n">
        <v>0.90093924</v>
      </c>
      <c r="M37" s="18" t="n">
        <v>0</v>
      </c>
      <c r="N37" s="20" t="n">
        <v>0</v>
      </c>
      <c r="O37" s="18" t="n">
        <v>0</v>
      </c>
      <c r="P37" s="20" t="n">
        <v>0</v>
      </c>
      <c r="Q37" s="18" t="n">
        <v>3.86284128</v>
      </c>
      <c r="R37" s="20" t="n">
        <v>1.27621457</v>
      </c>
    </row>
    <row r="38" spans="1:18">
      <c r="A38" s="15" t="s">
        <v>380</v>
      </c>
      <c r="B38" s="17" t="n">
        <v>2807</v>
      </c>
      <c r="C38" s="18">
        <f>(2343.0/B38*100)</f>
        <v/>
      </c>
      <c r="D38" s="19" t="n">
        <v>464</v>
      </c>
      <c r="E38" s="18" t="n">
        <v>43.15062573</v>
      </c>
      <c r="F38" s="20" t="n">
        <v>3.03483326</v>
      </c>
      <c r="G38" s="18" t="n">
        <v>53.14563161</v>
      </c>
      <c r="H38" s="20" t="n">
        <v>2.93726526</v>
      </c>
      <c r="I38" s="18" t="s">
        <v>349</v>
      </c>
      <c r="J38" s="20" t="s">
        <v>349</v>
      </c>
      <c r="K38" s="18" t="n">
        <v>1.08152373</v>
      </c>
      <c r="L38" s="20" t="n">
        <v>0.48855862</v>
      </c>
      <c r="M38" s="18" t="n">
        <v>0</v>
      </c>
      <c r="N38" s="20" t="n">
        <v>0</v>
      </c>
      <c r="O38" s="18" t="n">
        <v>0</v>
      </c>
      <c r="P38" s="20" t="n">
        <v>0</v>
      </c>
      <c r="Q38" s="18" t="n">
        <v>2.62221893</v>
      </c>
      <c r="R38" s="20" t="n">
        <v>0.80122439</v>
      </c>
    </row>
    <row r="39" spans="1:18">
      <c r="A39" s="15" t="s">
        <v>381</v>
      </c>
      <c r="B39" s="17" t="n">
        <v>2938</v>
      </c>
      <c r="C39" s="18">
        <f>(2578.0/B39*100)</f>
        <v/>
      </c>
      <c r="D39" s="19" t="n">
        <v>360</v>
      </c>
      <c r="E39" s="18" t="n">
        <v>73.88361058</v>
      </c>
      <c r="F39" s="20" t="n">
        <v>2.30731509</v>
      </c>
      <c r="G39" s="18" t="n">
        <v>23.69585882</v>
      </c>
      <c r="H39" s="20" t="n">
        <v>2.21188029</v>
      </c>
      <c r="I39" s="18" t="s">
        <v>349</v>
      </c>
      <c r="J39" s="20" t="s">
        <v>349</v>
      </c>
      <c r="K39" s="18" t="n">
        <v>0.59949208</v>
      </c>
      <c r="L39" s="20" t="n">
        <v>0.48145623</v>
      </c>
      <c r="M39" s="18" t="n">
        <v>0</v>
      </c>
      <c r="N39" s="20" t="n">
        <v>0</v>
      </c>
      <c r="O39" s="18" t="n">
        <v>0</v>
      </c>
      <c r="P39" s="20" t="n">
        <v>0</v>
      </c>
      <c r="Q39" s="18" t="n">
        <v>1.82103852</v>
      </c>
      <c r="R39" s="20" t="n">
        <v>0.61360251</v>
      </c>
    </row>
    <row r="40" spans="1:18">
      <c r="A40" s="15" t="s">
        <v>382</v>
      </c>
      <c r="B40" s="17" t="n">
        <v>6922</v>
      </c>
      <c r="C40" s="18">
        <f>(6077.0/B40*100)</f>
        <v/>
      </c>
      <c r="D40" s="19" t="n">
        <v>845</v>
      </c>
      <c r="E40" s="18" t="n">
        <v>50.90784211</v>
      </c>
      <c r="F40" s="20" t="n">
        <v>3.20423491</v>
      </c>
      <c r="G40" s="18" t="n">
        <v>47.14239237</v>
      </c>
      <c r="H40" s="20" t="n">
        <v>3.18439083</v>
      </c>
      <c r="I40" s="18" t="s">
        <v>349</v>
      </c>
      <c r="J40" s="20" t="s">
        <v>349</v>
      </c>
      <c r="K40" s="18" t="n">
        <v>0.42632429</v>
      </c>
      <c r="L40" s="20" t="n">
        <v>0.43682799</v>
      </c>
      <c r="M40" s="18" t="n">
        <v>0</v>
      </c>
      <c r="N40" s="20" t="n">
        <v>0</v>
      </c>
      <c r="O40" s="18" t="n">
        <v>0</v>
      </c>
      <c r="P40" s="20" t="n">
        <v>0</v>
      </c>
      <c r="Q40" s="18" t="n">
        <v>1.52344122</v>
      </c>
      <c r="R40" s="20" t="n">
        <v>0.55893238</v>
      </c>
    </row>
    <row r="41" spans="1:18">
      <c r="A41" s="15" t="s">
        <v>383</v>
      </c>
      <c r="B41" s="17" t="n">
        <v>2854</v>
      </c>
      <c r="C41" s="18">
        <f>(2511.0/B41*100)</f>
        <v/>
      </c>
      <c r="D41" s="19" t="n">
        <v>343</v>
      </c>
      <c r="E41" s="18" t="n">
        <v>50.15909914</v>
      </c>
      <c r="F41" s="20" t="n">
        <v>2.70850686</v>
      </c>
      <c r="G41" s="18" t="n">
        <v>48.23004184</v>
      </c>
      <c r="H41" s="20" t="n">
        <v>2.77156906</v>
      </c>
      <c r="I41" s="18" t="s">
        <v>349</v>
      </c>
      <c r="J41" s="20" t="s">
        <v>349</v>
      </c>
      <c r="K41" s="18" t="n">
        <v>0.33484693</v>
      </c>
      <c r="L41" s="20" t="n">
        <v>0.34144045</v>
      </c>
      <c r="M41" s="18" t="n">
        <v>0</v>
      </c>
      <c r="N41" s="20" t="n">
        <v>0</v>
      </c>
      <c r="O41" s="18" t="n">
        <v>0</v>
      </c>
      <c r="P41" s="20" t="n">
        <v>0</v>
      </c>
      <c r="Q41" s="18" t="n">
        <v>1.2760121</v>
      </c>
      <c r="R41" s="20" t="n">
        <v>0.58174945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(10808.0/B46*100)</f>
        <v/>
      </c>
      <c r="D46" s="19" t="n">
        <v>1265</v>
      </c>
      <c r="E46" s="18" t="n">
        <v>66.20530969000001</v>
      </c>
      <c r="F46" s="20" t="n">
        <v>1.66644555</v>
      </c>
      <c r="G46" s="18" t="n">
        <v>28.47375679</v>
      </c>
      <c r="H46" s="20" t="n">
        <v>1.74180097</v>
      </c>
      <c r="I46" s="18" t="s">
        <v>349</v>
      </c>
      <c r="J46" s="20" t="s">
        <v>349</v>
      </c>
      <c r="K46" s="18" t="n">
        <v>2.55403682</v>
      </c>
      <c r="L46" s="20" t="n">
        <v>0.58688596</v>
      </c>
      <c r="M46" s="18" t="n">
        <v>0</v>
      </c>
      <c r="N46" s="20" t="n">
        <v>0</v>
      </c>
      <c r="O46" s="18" t="n">
        <v>0</v>
      </c>
      <c r="P46" s="20" t="n">
        <v>0</v>
      </c>
      <c r="Q46" s="18" t="n">
        <v>2.76689671</v>
      </c>
      <c r="R46" s="20" t="n">
        <v>0.478978</v>
      </c>
    </row>
    <row r="47" spans="1:18">
      <c r="A47" s="15" t="s">
        <v>389</v>
      </c>
      <c r="B47" s="17" t="n">
        <v>2823</v>
      </c>
      <c r="C47" s="18">
        <f>(2486.0/B47*100)</f>
        <v/>
      </c>
      <c r="D47" s="19" t="n">
        <v>337</v>
      </c>
      <c r="E47" s="18" t="n">
        <v>61.21127164</v>
      </c>
      <c r="F47" s="20" t="n">
        <v>2.68193337</v>
      </c>
      <c r="G47" s="18" t="n">
        <v>36.96342416</v>
      </c>
      <c r="H47" s="20" t="n">
        <v>2.6731514</v>
      </c>
      <c r="I47" s="18" t="s">
        <v>349</v>
      </c>
      <c r="J47" s="20" t="s">
        <v>349</v>
      </c>
      <c r="K47" s="18" t="n">
        <v>0.27759354</v>
      </c>
      <c r="L47" s="20" t="n">
        <v>0.27651468</v>
      </c>
      <c r="M47" s="18" t="n">
        <v>0</v>
      </c>
      <c r="N47" s="20" t="n">
        <v>0</v>
      </c>
      <c r="O47" s="18" t="n">
        <v>0</v>
      </c>
      <c r="P47" s="20" t="n">
        <v>0</v>
      </c>
      <c r="Q47" s="18" t="n">
        <v>1.54771067</v>
      </c>
      <c r="R47" s="20" t="n">
        <v>0.67883841</v>
      </c>
    </row>
    <row r="48" spans="1:18">
      <c r="A48" s="15" t="s">
        <v>390</v>
      </c>
      <c r="B48" s="17" t="n">
        <v>4682</v>
      </c>
      <c r="C48" s="18">
        <f>(4101.0/B48*100)</f>
        <v/>
      </c>
      <c r="D48" s="19" t="n">
        <v>581</v>
      </c>
      <c r="E48" s="18" t="n">
        <v>46.16473529</v>
      </c>
      <c r="F48" s="20" t="n">
        <v>2.70827048</v>
      </c>
      <c r="G48" s="18" t="n">
        <v>53.30956515</v>
      </c>
      <c r="H48" s="20" t="n">
        <v>2.69377394</v>
      </c>
      <c r="I48" s="18" t="s">
        <v>349</v>
      </c>
      <c r="J48" s="20" t="s">
        <v>349</v>
      </c>
      <c r="K48" s="18" t="n">
        <v>0</v>
      </c>
      <c r="L48" s="20" t="n">
        <v>0</v>
      </c>
      <c r="M48" s="18" t="n">
        <v>0</v>
      </c>
      <c r="N48" s="20" t="n">
        <v>0</v>
      </c>
      <c r="O48" s="18" t="n">
        <v>0</v>
      </c>
      <c r="P48" s="20" t="n">
        <v>0</v>
      </c>
      <c r="Q48" s="18" t="n">
        <v>0.52569956</v>
      </c>
      <c r="R48" s="20" t="n">
        <v>0.35218834</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(5408.0/B50*100)</f>
        <v/>
      </c>
      <c r="D50" s="19" t="n">
        <v>750</v>
      </c>
      <c r="E50" s="18" t="n">
        <v>67.94911583</v>
      </c>
      <c r="F50" s="20" t="n">
        <v>2.17823518</v>
      </c>
      <c r="G50" s="18" t="n">
        <v>29.80817496</v>
      </c>
      <c r="H50" s="20" t="n">
        <v>2.1465025</v>
      </c>
      <c r="I50" s="18" t="s">
        <v>349</v>
      </c>
      <c r="J50" s="20" t="s">
        <v>349</v>
      </c>
      <c r="K50" s="18" t="n">
        <v>1.35712579</v>
      </c>
      <c r="L50" s="20" t="n">
        <v>0.53225369</v>
      </c>
      <c r="M50" s="18" t="n">
        <v>0</v>
      </c>
      <c r="N50" s="20" t="n">
        <v>0</v>
      </c>
      <c r="O50" s="18" t="n">
        <v>0</v>
      </c>
      <c r="P50" s="20" t="n">
        <v>0</v>
      </c>
      <c r="Q50" s="18" t="n">
        <v>0.88558341</v>
      </c>
      <c r="R50" s="20" t="n">
        <v>0.32460493</v>
      </c>
    </row>
    <row r="51" spans="1:18">
      <c r="A51" s="15" t="s">
        <v>393</v>
      </c>
      <c r="B51" s="17" t="n">
        <v>3494</v>
      </c>
      <c r="C51" s="18">
        <f>(3104.0/B51*100)</f>
        <v/>
      </c>
      <c r="D51" s="19" t="n">
        <v>390</v>
      </c>
      <c r="E51" s="18" t="n">
        <v>65.69221698</v>
      </c>
      <c r="F51" s="20" t="n">
        <v>2.95526097</v>
      </c>
      <c r="G51" s="18" t="n">
        <v>31.02558413</v>
      </c>
      <c r="H51" s="20" t="n">
        <v>2.93426794</v>
      </c>
      <c r="I51" s="18" t="s">
        <v>349</v>
      </c>
      <c r="J51" s="20" t="s">
        <v>349</v>
      </c>
      <c r="K51" s="18" t="n">
        <v>0.59871783</v>
      </c>
      <c r="L51" s="20" t="n">
        <v>0.5764531899999999</v>
      </c>
      <c r="M51" s="18" t="n">
        <v>0</v>
      </c>
      <c r="N51" s="20" t="n">
        <v>0</v>
      </c>
      <c r="O51" s="18" t="n">
        <v>0</v>
      </c>
      <c r="P51" s="20" t="n">
        <v>0</v>
      </c>
      <c r="Q51" s="18" t="n">
        <v>2.68348105</v>
      </c>
      <c r="R51" s="20" t="n">
        <v>0.83855853</v>
      </c>
    </row>
    <row r="52" spans="1:18">
      <c r="A52" s="15" t="s">
        <v>394</v>
      </c>
      <c r="B52" s="17" t="n">
        <v>3013</v>
      </c>
      <c r="C52" s="18">
        <f>(2645.0/B52*100)</f>
        <v/>
      </c>
      <c r="D52" s="19" t="n">
        <v>368</v>
      </c>
      <c r="E52" s="18" t="n">
        <v>64.35194140999999</v>
      </c>
      <c r="F52" s="20" t="n">
        <v>2.63621959</v>
      </c>
      <c r="G52" s="18" t="n">
        <v>34.52718354</v>
      </c>
      <c r="H52" s="20" t="n">
        <v>2.52993466</v>
      </c>
      <c r="I52" s="18" t="s">
        <v>349</v>
      </c>
      <c r="J52" s="20" t="s">
        <v>349</v>
      </c>
      <c r="K52" s="18" t="n">
        <v>0</v>
      </c>
      <c r="L52" s="20" t="n">
        <v>0</v>
      </c>
      <c r="M52" s="18" t="n">
        <v>0</v>
      </c>
      <c r="N52" s="20" t="n">
        <v>0</v>
      </c>
      <c r="O52" s="18" t="n">
        <v>0</v>
      </c>
      <c r="P52" s="20" t="n">
        <v>0</v>
      </c>
      <c r="Q52" s="18" t="n">
        <v>1.12087505</v>
      </c>
      <c r="R52" s="20" t="n">
        <v>0.68946389</v>
      </c>
    </row>
    <row r="53" spans="1:18">
      <c r="A53" s="15" t="s">
        <v>395</v>
      </c>
      <c r="B53" s="17" t="n">
        <v>2760</v>
      </c>
      <c r="C53" s="18">
        <f>(2418.0/B53*100)</f>
        <v/>
      </c>
      <c r="D53" s="19" t="n">
        <v>342</v>
      </c>
      <c r="E53" s="18" t="n">
        <v>58.7691781</v>
      </c>
      <c r="F53" s="20" t="n">
        <v>2.94209433</v>
      </c>
      <c r="G53" s="18" t="n">
        <v>39.53649948</v>
      </c>
      <c r="H53" s="20" t="n">
        <v>2.86008384</v>
      </c>
      <c r="I53" s="18" t="s">
        <v>349</v>
      </c>
      <c r="J53" s="20" t="s">
        <v>349</v>
      </c>
      <c r="K53" s="18" t="n">
        <v>0.83780269</v>
      </c>
      <c r="L53" s="20" t="n">
        <v>0.50925144</v>
      </c>
      <c r="M53" s="18" t="n">
        <v>0</v>
      </c>
      <c r="N53" s="20" t="n">
        <v>0</v>
      </c>
      <c r="O53" s="18" t="n">
        <v>0</v>
      </c>
      <c r="P53" s="20" t="n">
        <v>0</v>
      </c>
      <c r="Q53" s="18" t="n">
        <v>0.85651972</v>
      </c>
      <c r="R53" s="20" t="n">
        <v>0.5194484</v>
      </c>
    </row>
    <row r="54" spans="1:18">
      <c r="A54" s="15" t="s">
        <v>396</v>
      </c>
      <c r="B54" s="17" t="n">
        <v>2474</v>
      </c>
      <c r="C54" s="18">
        <f>(2086.0/B54*100)</f>
        <v/>
      </c>
      <c r="D54" s="19" t="n">
        <v>388</v>
      </c>
      <c r="E54" s="18" t="n">
        <v>64.48818376</v>
      </c>
      <c r="F54" s="20" t="n">
        <v>3.06462565</v>
      </c>
      <c r="G54" s="18" t="n">
        <v>19.93600704</v>
      </c>
      <c r="H54" s="20" t="n">
        <v>2.36650113</v>
      </c>
      <c r="I54" s="18" t="s">
        <v>349</v>
      </c>
      <c r="J54" s="20" t="s">
        <v>349</v>
      </c>
      <c r="K54" s="18" t="n">
        <v>11.54570251</v>
      </c>
      <c r="L54" s="20" t="n">
        <v>1.9531871</v>
      </c>
      <c r="M54" s="18" t="n">
        <v>0</v>
      </c>
      <c r="N54" s="20" t="n">
        <v>0</v>
      </c>
      <c r="O54" s="18" t="n">
        <v>0</v>
      </c>
      <c r="P54" s="20" t="n">
        <v>0</v>
      </c>
      <c r="Q54" s="18" t="n">
        <v>4.03010668</v>
      </c>
      <c r="R54" s="20" t="n">
        <v>1.28542528</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(2322.0/B56*100)</f>
        <v/>
      </c>
      <c r="D56" s="19" t="n">
        <v>353</v>
      </c>
      <c r="E56" s="18" t="n">
        <v>35.56174215</v>
      </c>
      <c r="F56" s="20" t="n">
        <v>2.54014023</v>
      </c>
      <c r="G56" s="18" t="n">
        <v>64.11292647</v>
      </c>
      <c r="H56" s="20" t="n">
        <v>2.551024</v>
      </c>
      <c r="I56" s="18" t="s">
        <v>349</v>
      </c>
      <c r="J56" s="20" t="s">
        <v>349</v>
      </c>
      <c r="K56" s="18" t="n">
        <v>0</v>
      </c>
      <c r="L56" s="20" t="n">
        <v>0</v>
      </c>
      <c r="M56" s="18" t="n">
        <v>0</v>
      </c>
      <c r="N56" s="20" t="n">
        <v>0</v>
      </c>
      <c r="O56" s="18" t="n">
        <v>0</v>
      </c>
      <c r="P56" s="20" t="n">
        <v>0</v>
      </c>
      <c r="Q56" s="18" t="n">
        <v>0.32533138</v>
      </c>
      <c r="R56" s="20" t="n">
        <v>0.21867521</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(2819.0/B61*100)</f>
        <v/>
      </c>
      <c r="D61" s="19" t="n">
        <v>382</v>
      </c>
      <c r="E61" s="18" t="n">
        <v>55.69008077</v>
      </c>
      <c r="F61" s="20" t="n">
        <v>3.16261002</v>
      </c>
      <c r="G61" s="18" t="n">
        <v>42.79279979</v>
      </c>
      <c r="H61" s="20" t="n">
        <v>3.19685511</v>
      </c>
      <c r="I61" s="18" t="s">
        <v>349</v>
      </c>
      <c r="J61" s="20" t="s">
        <v>349</v>
      </c>
      <c r="K61" s="18" t="n">
        <v>0.58564096</v>
      </c>
      <c r="L61" s="20" t="n">
        <v>0.41632435</v>
      </c>
      <c r="M61" s="18" t="n">
        <v>0</v>
      </c>
      <c r="N61" s="20" t="n">
        <v>0</v>
      </c>
      <c r="O61" s="18" t="n">
        <v>0</v>
      </c>
      <c r="P61" s="20" t="n">
        <v>0</v>
      </c>
      <c r="Q61" s="18" t="n">
        <v>0.93147849</v>
      </c>
      <c r="R61" s="20" t="n">
        <v>0.49044786</v>
      </c>
    </row>
    <row r="62" spans="1:18">
      <c r="A62" s="15" t="s">
        <v>404</v>
      </c>
      <c r="B62" s="17" t="n">
        <v>2230</v>
      </c>
      <c r="C62" s="18">
        <f>(1948.0/B62*100)</f>
        <v/>
      </c>
      <c r="D62" s="19" t="n">
        <v>282</v>
      </c>
      <c r="E62" s="18" t="n">
        <v>36.58369529</v>
      </c>
      <c r="F62" s="20" t="n">
        <v>2.62813565</v>
      </c>
      <c r="G62" s="18" t="n">
        <v>62.71215198</v>
      </c>
      <c r="H62" s="20" t="n">
        <v>2.67403639</v>
      </c>
      <c r="I62" s="18" t="s">
        <v>349</v>
      </c>
      <c r="J62" s="20" t="s">
        <v>349</v>
      </c>
      <c r="K62" s="18" t="n">
        <v>0</v>
      </c>
      <c r="L62" s="20" t="n">
        <v>0</v>
      </c>
      <c r="M62" s="18" t="n">
        <v>0</v>
      </c>
      <c r="N62" s="20" t="n">
        <v>0</v>
      </c>
      <c r="O62" s="18" t="n">
        <v>0</v>
      </c>
      <c r="P62" s="20" t="n">
        <v>0</v>
      </c>
      <c r="Q62" s="18" t="n">
        <v>0.70415273</v>
      </c>
      <c r="R62" s="20" t="n">
        <v>0.49523112</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(2436.0/B66*100)</f>
        <v/>
      </c>
      <c r="D66" s="19" t="n">
        <v>335</v>
      </c>
      <c r="E66" s="18" t="n">
        <v>57.34518903</v>
      </c>
      <c r="F66" s="20" t="n">
        <v>2.69593769</v>
      </c>
      <c r="G66" s="18" t="n">
        <v>36.96676245</v>
      </c>
      <c r="H66" s="20" t="n">
        <v>2.86153483</v>
      </c>
      <c r="I66" s="18" t="s">
        <v>349</v>
      </c>
      <c r="J66" s="20" t="s">
        <v>349</v>
      </c>
      <c r="K66" s="18" t="n">
        <v>1.23566269</v>
      </c>
      <c r="L66" s="20" t="n">
        <v>0.61724497</v>
      </c>
      <c r="M66" s="18" t="n">
        <v>0</v>
      </c>
      <c r="N66" s="20" t="n">
        <v>0</v>
      </c>
      <c r="O66" s="18" t="n">
        <v>0</v>
      </c>
      <c r="P66" s="20" t="n">
        <v>0</v>
      </c>
      <c r="Q66" s="18" t="n">
        <v>4.45238583</v>
      </c>
      <c r="R66" s="20" t="n">
        <v>1.15116801</v>
      </c>
    </row>
    <row r="67" spans="1:18">
      <c r="A67" s="15" t="s">
        <v>409</v>
      </c>
      <c r="B67" s="17" t="n">
        <v>3460</v>
      </c>
      <c r="C67" s="18">
        <f>(3066.0/B67*100)</f>
        <v/>
      </c>
      <c r="D67" s="19" t="n">
        <v>394</v>
      </c>
      <c r="E67" s="18" t="n">
        <v>71.51454049</v>
      </c>
      <c r="F67" s="20" t="n">
        <v>1.88534034</v>
      </c>
      <c r="G67" s="18" t="n">
        <v>25.93886744</v>
      </c>
      <c r="H67" s="20" t="n">
        <v>1.85292673</v>
      </c>
      <c r="I67" s="18" t="s">
        <v>349</v>
      </c>
      <c r="J67" s="20" t="s">
        <v>349</v>
      </c>
      <c r="K67" s="18" t="n">
        <v>0.7598654500000001</v>
      </c>
      <c r="L67" s="20" t="n">
        <v>0.44618381</v>
      </c>
      <c r="M67" s="18" t="n">
        <v>0</v>
      </c>
      <c r="N67" s="20" t="n">
        <v>0</v>
      </c>
      <c r="O67" s="18" t="n">
        <v>0</v>
      </c>
      <c r="P67" s="20" t="n">
        <v>0</v>
      </c>
      <c r="Q67" s="18" t="n">
        <v>1.78672662</v>
      </c>
      <c r="R67" s="20" t="n">
        <v>0.72882708</v>
      </c>
    </row>
    <row r="68" spans="1:18">
      <c r="A68" s="15" t="s">
        <v>410</v>
      </c>
      <c r="B68" s="17" t="n">
        <v>6034</v>
      </c>
      <c r="C68" s="18">
        <f>(5022.0/B68*100)</f>
        <v/>
      </c>
      <c r="D68" s="19" t="n">
        <v>1012</v>
      </c>
      <c r="E68" s="18" t="n">
        <v>66.19535051</v>
      </c>
      <c r="F68" s="20" t="n">
        <v>1.69574534</v>
      </c>
      <c r="G68" s="18" t="n">
        <v>28.93832103</v>
      </c>
      <c r="H68" s="20" t="n">
        <v>1.54187833</v>
      </c>
      <c r="I68" s="18" t="s">
        <v>349</v>
      </c>
      <c r="J68" s="20" t="s">
        <v>349</v>
      </c>
      <c r="K68" s="18" t="n">
        <v>2.24233546</v>
      </c>
      <c r="L68" s="20" t="n">
        <v>0.48290608</v>
      </c>
      <c r="M68" s="18" t="n">
        <v>0</v>
      </c>
      <c r="N68" s="20" t="n">
        <v>0</v>
      </c>
      <c r="O68" s="18" t="n">
        <v>0</v>
      </c>
      <c r="P68" s="20" t="n">
        <v>0</v>
      </c>
      <c r="Q68" s="18" t="n">
        <v>2.623993</v>
      </c>
      <c r="R68" s="20" t="n">
        <v>0.44813751</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(2724.0/B70*100)</f>
        <v/>
      </c>
      <c r="D70" s="19" t="n">
        <v>383</v>
      </c>
      <c r="E70" s="18" t="n">
        <v>69.0274888</v>
      </c>
      <c r="F70" s="20" t="n">
        <v>2.46963179</v>
      </c>
      <c r="G70" s="18" t="n">
        <v>29.69382115</v>
      </c>
      <c r="H70" s="20" t="n">
        <v>2.33735948</v>
      </c>
      <c r="I70" s="18" t="s">
        <v>349</v>
      </c>
      <c r="J70" s="20" t="s">
        <v>349</v>
      </c>
      <c r="K70" s="18" t="n">
        <v>0.22305635</v>
      </c>
      <c r="L70" s="20" t="n">
        <v>0.15477168</v>
      </c>
      <c r="M70" s="18" t="n">
        <v>0</v>
      </c>
      <c r="N70" s="20" t="n">
        <v>0</v>
      </c>
      <c r="O70" s="18" t="n">
        <v>0</v>
      </c>
      <c r="P70" s="20" t="n">
        <v>0</v>
      </c>
      <c r="Q70" s="18" t="n">
        <v>1.0556337</v>
      </c>
      <c r="R70" s="20" t="n">
        <v>0.5791978800000001</v>
      </c>
    </row>
    <row r="71" spans="1:18">
      <c r="A71" s="15" t="s">
        <v>413</v>
      </c>
      <c r="B71" s="17" t="n">
        <v>2973</v>
      </c>
      <c r="C71" s="18">
        <f>(2613.0/B71*100)</f>
        <v/>
      </c>
      <c r="D71" s="19" t="n">
        <v>360</v>
      </c>
      <c r="E71" s="18" t="n">
        <v>39.57288577</v>
      </c>
      <c r="F71" s="20" t="n">
        <v>2.37240861</v>
      </c>
      <c r="G71" s="18" t="n">
        <v>59.54214954</v>
      </c>
      <c r="H71" s="20" t="n">
        <v>2.39013702</v>
      </c>
      <c r="I71" s="18" t="s">
        <v>349</v>
      </c>
      <c r="J71" s="20" t="s">
        <v>349</v>
      </c>
      <c r="K71" s="18" t="n">
        <v>0.32368251</v>
      </c>
      <c r="L71" s="20" t="n">
        <v>0.325956</v>
      </c>
      <c r="M71" s="18" t="n">
        <v>0</v>
      </c>
      <c r="N71" s="20" t="n">
        <v>0</v>
      </c>
      <c r="O71" s="18" t="n">
        <v>0</v>
      </c>
      <c r="P71" s="20" t="n">
        <v>0</v>
      </c>
      <c r="Q71" s="18" t="n">
        <v>0.56128217</v>
      </c>
      <c r="R71" s="20" t="n">
        <v>0.40640704</v>
      </c>
    </row>
    <row r="72" spans="1:18">
      <c r="A72" s="15" t="s">
        <v>414</v>
      </c>
      <c r="B72" s="17" t="n">
        <v>3819</v>
      </c>
      <c r="C72" s="18">
        <f>(3345.0/B72*100)</f>
        <v/>
      </c>
      <c r="D72" s="19" t="n">
        <v>474</v>
      </c>
      <c r="E72" s="18" t="n">
        <v>44.37757598</v>
      </c>
      <c r="F72" s="20" t="n">
        <v>2.71866394</v>
      </c>
      <c r="G72" s="18" t="n">
        <v>54.5059812</v>
      </c>
      <c r="H72" s="20" t="n">
        <v>2.73894436</v>
      </c>
      <c r="I72" s="18" t="s">
        <v>349</v>
      </c>
      <c r="J72" s="20" t="s">
        <v>349</v>
      </c>
      <c r="K72" s="18" t="n">
        <v>0</v>
      </c>
      <c r="L72" s="20" t="n">
        <v>0</v>
      </c>
      <c r="M72" s="18" t="n">
        <v>0</v>
      </c>
      <c r="N72" s="20" t="n">
        <v>0</v>
      </c>
      <c r="O72" s="18" t="n">
        <v>0</v>
      </c>
      <c r="P72" s="20" t="n">
        <v>0</v>
      </c>
      <c r="Q72" s="18" t="n">
        <v>1.11644282</v>
      </c>
      <c r="R72" s="20" t="n">
        <v>0.47843562</v>
      </c>
    </row>
    <row r="73" spans="1:18">
      <c r="A73" s="15" t="s">
        <v>415</v>
      </c>
      <c r="B73" s="17" t="n">
        <v>4652</v>
      </c>
      <c r="C73" s="18">
        <f>(4114.0/B73*100)</f>
        <v/>
      </c>
      <c r="D73" s="19" t="n">
        <v>538</v>
      </c>
      <c r="E73" s="18" t="n">
        <v>73.50266393</v>
      </c>
      <c r="F73" s="20" t="n">
        <v>2.05696345</v>
      </c>
      <c r="G73" s="18" t="n">
        <v>26.28751095</v>
      </c>
      <c r="H73" s="20" t="n">
        <v>2.03325517</v>
      </c>
      <c r="I73" s="18" t="s">
        <v>349</v>
      </c>
      <c r="J73" s="20" t="s">
        <v>349</v>
      </c>
      <c r="K73" s="18" t="n">
        <v>0</v>
      </c>
      <c r="L73" s="20" t="n">
        <v>0</v>
      </c>
      <c r="M73" s="18" t="n">
        <v>0</v>
      </c>
      <c r="N73" s="20" t="n">
        <v>0</v>
      </c>
      <c r="O73" s="18" t="n">
        <v>0</v>
      </c>
      <c r="P73" s="20" t="n">
        <v>0</v>
      </c>
      <c r="Q73" s="18" t="n">
        <v>0.20982513</v>
      </c>
      <c r="R73" s="20" t="n">
        <v>0.20533439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(2634.0/B75*100)</f>
        <v/>
      </c>
      <c r="D75" s="19" t="n">
        <v>335</v>
      </c>
      <c r="E75" s="18" t="n">
        <v>68.26882374</v>
      </c>
      <c r="F75" s="20" t="n">
        <v>2.76263414</v>
      </c>
      <c r="G75" s="18" t="n">
        <v>24.15014948</v>
      </c>
      <c r="H75" s="20" t="n">
        <v>2.18627109</v>
      </c>
      <c r="I75" s="18" t="s">
        <v>349</v>
      </c>
      <c r="J75" s="20" t="s">
        <v>349</v>
      </c>
      <c r="K75" s="18" t="n">
        <v>3.14468778</v>
      </c>
      <c r="L75" s="20" t="n">
        <v>1.04259214</v>
      </c>
      <c r="M75" s="18" t="n">
        <v>0</v>
      </c>
      <c r="N75" s="20" t="n">
        <v>0</v>
      </c>
      <c r="O75" s="18" t="n">
        <v>0</v>
      </c>
      <c r="P75" s="20" t="n">
        <v>0</v>
      </c>
      <c r="Q75" s="18" t="n">
        <v>4.436339</v>
      </c>
      <c r="R75" s="20" t="n">
        <v>1.1840973</v>
      </c>
    </row>
    <row r="76" spans="1:18">
      <c r="A76" s="15" t="s">
        <v>418</v>
      </c>
      <c r="B76" s="17" t="n">
        <v>7115</v>
      </c>
      <c r="C76" s="18">
        <f>(6246.0/B76*100)</f>
        <v/>
      </c>
      <c r="D76" s="19" t="n">
        <v>869</v>
      </c>
      <c r="E76" s="18" t="n">
        <v>60.3958502</v>
      </c>
      <c r="F76" s="20" t="n">
        <v>2.11120122</v>
      </c>
      <c r="G76" s="18" t="n">
        <v>37.9790932</v>
      </c>
      <c r="H76" s="20" t="n">
        <v>2.0825886</v>
      </c>
      <c r="I76" s="18" t="s">
        <v>349</v>
      </c>
      <c r="J76" s="20" t="s">
        <v>349</v>
      </c>
      <c r="K76" s="18" t="n">
        <v>0.6584539</v>
      </c>
      <c r="L76" s="20" t="n">
        <v>0.2872374</v>
      </c>
      <c r="M76" s="18" t="n">
        <v>0</v>
      </c>
      <c r="N76" s="20" t="n">
        <v>0</v>
      </c>
      <c r="O76" s="18" t="n">
        <v>0</v>
      </c>
      <c r="P76" s="20" t="n">
        <v>0</v>
      </c>
      <c r="Q76" s="18" t="n">
        <v>0.9666027</v>
      </c>
      <c r="R76" s="20" t="n">
        <v>0.35860645</v>
      </c>
    </row>
    <row r="77" spans="1:18">
      <c r="A77" s="15" t="s">
        <v>419</v>
      </c>
      <c r="B77" s="17" t="n">
        <v>3154</v>
      </c>
      <c r="C77" s="18">
        <f>(2793.0/B77*100)</f>
        <v/>
      </c>
      <c r="D77" s="19" t="n">
        <v>361</v>
      </c>
      <c r="E77" s="18" t="n">
        <v>67.2702508</v>
      </c>
      <c r="F77" s="20" t="n">
        <v>2.59716648</v>
      </c>
      <c r="G77" s="18" t="n">
        <v>24.59253508</v>
      </c>
      <c r="H77" s="20" t="n">
        <v>2.31906788</v>
      </c>
      <c r="I77" s="18" t="s">
        <v>349</v>
      </c>
      <c r="J77" s="20" t="s">
        <v>349</v>
      </c>
      <c r="K77" s="18" t="n">
        <v>2.29700794</v>
      </c>
      <c r="L77" s="20" t="n">
        <v>0.87258326</v>
      </c>
      <c r="M77" s="18" t="n">
        <v>0</v>
      </c>
      <c r="N77" s="20" t="n">
        <v>0</v>
      </c>
      <c r="O77" s="18" t="n">
        <v>0</v>
      </c>
      <c r="P77" s="20" t="n">
        <v>0</v>
      </c>
      <c r="Q77" s="18" t="n">
        <v>5.84020618</v>
      </c>
      <c r="R77" s="20" t="n">
        <v>1.46521386</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(4138.0/B81*100)</f>
        <v/>
      </c>
      <c r="D81" s="19" t="n">
        <v>560</v>
      </c>
      <c r="E81" s="18" t="n">
        <v>65.3670212</v>
      </c>
      <c r="F81" s="20" t="n">
        <v>2.18609323</v>
      </c>
      <c r="G81" s="18" t="n">
        <v>34.36692845</v>
      </c>
      <c r="H81" s="20" t="n">
        <v>2.13850661</v>
      </c>
      <c r="I81" s="18" t="s">
        <v>349</v>
      </c>
      <c r="J81" s="20" t="s">
        <v>349</v>
      </c>
      <c r="K81" s="18" t="n">
        <v>0</v>
      </c>
      <c r="L81" s="20" t="n">
        <v>0</v>
      </c>
      <c r="M81" s="18" t="n">
        <v>0</v>
      </c>
      <c r="N81" s="20" t="n">
        <v>0</v>
      </c>
      <c r="O81" s="18" t="n">
        <v>0</v>
      </c>
      <c r="P81" s="20" t="n">
        <v>0</v>
      </c>
      <c r="Q81" s="18" t="n">
        <v>0.26605035</v>
      </c>
      <c r="R81" s="20" t="n">
        <v>0.26366645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(6256.0/B7*100)</f>
        <v/>
      </c>
      <c r="D7" s="19" t="n">
        <v>907</v>
      </c>
      <c r="E7" s="18" t="n">
        <v>71.22380568</v>
      </c>
      <c r="F7" s="20" t="n">
        <v>1.70337619</v>
      </c>
      <c r="G7" s="18" t="n">
        <v>26.54760707</v>
      </c>
      <c r="H7" s="20" t="n">
        <v>1.66927445</v>
      </c>
      <c r="I7" s="18" t="s">
        <v>349</v>
      </c>
      <c r="J7" s="20" t="s">
        <v>349</v>
      </c>
      <c r="K7" s="18" t="n">
        <v>0.27439221</v>
      </c>
      <c r="L7" s="20" t="n">
        <v>0.15893238</v>
      </c>
      <c r="M7" s="18" t="n">
        <v>0</v>
      </c>
      <c r="N7" s="20" t="n">
        <v>0</v>
      </c>
      <c r="O7" s="18" t="n">
        <v>0</v>
      </c>
      <c r="P7" s="20" t="n">
        <v>0</v>
      </c>
      <c r="Q7" s="18" t="n">
        <v>1.95419505</v>
      </c>
      <c r="R7" s="20" t="n">
        <v>0.5204245199999999</v>
      </c>
    </row>
    <row r="8" spans="1:18">
      <c r="A8" s="15" t="s">
        <v>350</v>
      </c>
      <c r="B8" s="17" t="n">
        <v>3443</v>
      </c>
      <c r="C8" s="18">
        <f>(3033.0/B8*100)</f>
        <v/>
      </c>
      <c r="D8" s="19" t="n">
        <v>410</v>
      </c>
      <c r="E8" s="18" t="n">
        <v>75.7603179</v>
      </c>
      <c r="F8" s="20" t="n">
        <v>2.32585328</v>
      </c>
      <c r="G8" s="18" t="n">
        <v>19.63391781</v>
      </c>
      <c r="H8" s="20" t="n">
        <v>1.97325016</v>
      </c>
      <c r="I8" s="18" t="s">
        <v>349</v>
      </c>
      <c r="J8" s="20" t="s">
        <v>349</v>
      </c>
      <c r="K8" s="18" t="n">
        <v>0.12570886</v>
      </c>
      <c r="L8" s="20" t="n">
        <v>0.12854949</v>
      </c>
      <c r="M8" s="18" t="n">
        <v>0</v>
      </c>
      <c r="N8" s="20" t="n">
        <v>0</v>
      </c>
      <c r="O8" s="18" t="n">
        <v>0</v>
      </c>
      <c r="P8" s="20" t="n">
        <v>0</v>
      </c>
      <c r="Q8" s="18" t="n">
        <v>4.48005543</v>
      </c>
      <c r="R8" s="20" t="n">
        <v>1.14101515</v>
      </c>
    </row>
    <row r="9" spans="1:18">
      <c r="A9" s="15" t="s">
        <v>351</v>
      </c>
      <c r="B9" s="17" t="n">
        <v>4752</v>
      </c>
      <c r="C9" s="18">
        <f>(4177.0/B9*100)</f>
        <v/>
      </c>
      <c r="D9" s="19" t="n">
        <v>575</v>
      </c>
      <c r="E9" s="18" t="n">
        <v>71.2667496</v>
      </c>
      <c r="F9" s="20" t="n">
        <v>2.04831387</v>
      </c>
      <c r="G9" s="18" t="n">
        <v>23.88790298</v>
      </c>
      <c r="H9" s="20" t="n">
        <v>1.92299258</v>
      </c>
      <c r="I9" s="18" t="s">
        <v>349</v>
      </c>
      <c r="J9" s="20" t="s">
        <v>349</v>
      </c>
      <c r="K9" s="18" t="n">
        <v>0.32076391</v>
      </c>
      <c r="L9" s="20" t="n">
        <v>0.24436933</v>
      </c>
      <c r="M9" s="18" t="n">
        <v>0</v>
      </c>
      <c r="N9" s="20" t="n">
        <v>0</v>
      </c>
      <c r="O9" s="18" t="n">
        <v>0</v>
      </c>
      <c r="P9" s="20" t="n">
        <v>0</v>
      </c>
      <c r="Q9" s="18" t="n">
        <v>4.52458351</v>
      </c>
      <c r="R9" s="20" t="n">
        <v>0.85369962</v>
      </c>
    </row>
    <row r="10" spans="1:18">
      <c r="A10" s="15" t="s">
        <v>352</v>
      </c>
      <c r="B10" s="17" t="n">
        <v>10022</v>
      </c>
      <c r="C10" s="18">
        <f>(8832.0/B10*100)</f>
        <v/>
      </c>
      <c r="D10" s="19" t="n">
        <v>1190</v>
      </c>
      <c r="E10" s="18" t="n">
        <v>67.96122587000001</v>
      </c>
      <c r="F10" s="20" t="n">
        <v>1.81294138</v>
      </c>
      <c r="G10" s="18" t="n">
        <v>28.02796816</v>
      </c>
      <c r="H10" s="20" t="n">
        <v>1.76035421</v>
      </c>
      <c r="I10" s="18" t="s">
        <v>349</v>
      </c>
      <c r="J10" s="20" t="s">
        <v>349</v>
      </c>
      <c r="K10" s="18" t="n">
        <v>0.48668488</v>
      </c>
      <c r="L10" s="20" t="n">
        <v>0.32326247</v>
      </c>
      <c r="M10" s="18" t="n">
        <v>0</v>
      </c>
      <c r="N10" s="20" t="n">
        <v>0</v>
      </c>
      <c r="O10" s="18" t="n">
        <v>0</v>
      </c>
      <c r="P10" s="20" t="n">
        <v>0</v>
      </c>
      <c r="Q10" s="18" t="n">
        <v>3.52412109</v>
      </c>
      <c r="R10" s="20" t="n">
        <v>0.767819</v>
      </c>
    </row>
    <row r="11" spans="1:18">
      <c r="A11" s="15" t="s">
        <v>353</v>
      </c>
      <c r="B11" s="17" t="n">
        <v>3500</v>
      </c>
      <c r="C11" s="18">
        <f>(3084.0/B11*100)</f>
        <v/>
      </c>
      <c r="D11" s="19" t="n">
        <v>416</v>
      </c>
      <c r="E11" s="18" t="n">
        <v>83.01249864</v>
      </c>
      <c r="F11" s="20" t="n">
        <v>1.74655015</v>
      </c>
      <c r="G11" s="18" t="n">
        <v>5.40901615</v>
      </c>
      <c r="H11" s="20" t="n">
        <v>1.21375306</v>
      </c>
      <c r="I11" s="18" t="s">
        <v>349</v>
      </c>
      <c r="J11" s="20" t="s">
        <v>349</v>
      </c>
      <c r="K11" s="18" t="n">
        <v>2.36515025</v>
      </c>
      <c r="L11" s="20" t="n">
        <v>0.71162742</v>
      </c>
      <c r="M11" s="18" t="n">
        <v>0</v>
      </c>
      <c r="N11" s="20" t="n">
        <v>0</v>
      </c>
      <c r="O11" s="18" t="n">
        <v>0</v>
      </c>
      <c r="P11" s="20" t="n">
        <v>0</v>
      </c>
      <c r="Q11" s="18" t="n">
        <v>9.21333495</v>
      </c>
      <c r="R11" s="20" t="n">
        <v>1.60342769</v>
      </c>
    </row>
    <row r="12" spans="1:18">
      <c r="A12" s="15" t="s">
        <v>354</v>
      </c>
      <c r="B12" s="17" t="n">
        <v>3422</v>
      </c>
      <c r="C12" s="18">
        <f>(3007.0/B12*100)</f>
        <v/>
      </c>
      <c r="D12" s="19" t="n">
        <v>415</v>
      </c>
      <c r="E12" s="18" t="n">
        <v>73.72964021</v>
      </c>
      <c r="F12" s="20" t="n">
        <v>2.12630294</v>
      </c>
      <c r="G12" s="18" t="n">
        <v>19.50975801</v>
      </c>
      <c r="H12" s="20" t="n">
        <v>2.0536381</v>
      </c>
      <c r="I12" s="18" t="s">
        <v>349</v>
      </c>
      <c r="J12" s="20" t="s">
        <v>349</v>
      </c>
      <c r="K12" s="18" t="n">
        <v>0.24674875</v>
      </c>
      <c r="L12" s="20" t="n">
        <v>0.26170874</v>
      </c>
      <c r="M12" s="18" t="n">
        <v>0</v>
      </c>
      <c r="N12" s="20" t="n">
        <v>0</v>
      </c>
      <c r="O12" s="18" t="n">
        <v>0</v>
      </c>
      <c r="P12" s="20" t="n">
        <v>0</v>
      </c>
      <c r="Q12" s="18" t="n">
        <v>6.51385303</v>
      </c>
      <c r="R12" s="20" t="n">
        <v>1.58789251</v>
      </c>
    </row>
    <row r="13" spans="1:18">
      <c r="A13" s="15" t="s">
        <v>355</v>
      </c>
      <c r="B13" s="17" t="n">
        <v>3602</v>
      </c>
      <c r="C13" s="18">
        <f>(3201.0/B13*100)</f>
        <v/>
      </c>
      <c r="D13" s="19" t="n">
        <v>401</v>
      </c>
      <c r="E13" s="18" t="n">
        <v>71.88012094</v>
      </c>
      <c r="F13" s="20" t="n">
        <v>3.09942689</v>
      </c>
      <c r="G13" s="18" t="n">
        <v>22.48196769</v>
      </c>
      <c r="H13" s="20" t="n">
        <v>3.06978525</v>
      </c>
      <c r="I13" s="18" t="s">
        <v>349</v>
      </c>
      <c r="J13" s="20" t="s">
        <v>349</v>
      </c>
      <c r="K13" s="18" t="n">
        <v>1.09570556</v>
      </c>
      <c r="L13" s="20" t="n">
        <v>0.67348114</v>
      </c>
      <c r="M13" s="18" t="n">
        <v>0</v>
      </c>
      <c r="N13" s="20" t="n">
        <v>0</v>
      </c>
      <c r="O13" s="18" t="n">
        <v>0</v>
      </c>
      <c r="P13" s="20" t="n">
        <v>0</v>
      </c>
      <c r="Q13" s="18" t="n">
        <v>4.54220581</v>
      </c>
      <c r="R13" s="20" t="n">
        <v>1.44138459</v>
      </c>
    </row>
    <row r="14" spans="1:18">
      <c r="A14" s="15" t="s">
        <v>356</v>
      </c>
      <c r="B14" s="17" t="n">
        <v>2788</v>
      </c>
      <c r="C14" s="18">
        <f>(2434.0/B14*100)</f>
        <v/>
      </c>
      <c r="D14" s="19" t="n">
        <v>354</v>
      </c>
      <c r="E14" s="18" t="n">
        <v>72.06969343999999</v>
      </c>
      <c r="F14" s="20" t="n">
        <v>2.80602846</v>
      </c>
      <c r="G14" s="18" t="n">
        <v>25.43075154</v>
      </c>
      <c r="H14" s="20" t="n">
        <v>2.7387173</v>
      </c>
      <c r="I14" s="18" t="s">
        <v>349</v>
      </c>
      <c r="J14" s="20" t="s">
        <v>349</v>
      </c>
      <c r="K14" s="18" t="n">
        <v>0</v>
      </c>
      <c r="L14" s="20" t="n">
        <v>0</v>
      </c>
      <c r="M14" s="18" t="n">
        <v>0</v>
      </c>
      <c r="N14" s="20" t="n">
        <v>0</v>
      </c>
      <c r="O14" s="18" t="n">
        <v>0</v>
      </c>
      <c r="P14" s="20" t="n">
        <v>0</v>
      </c>
      <c r="Q14" s="18" t="n">
        <v>2.49955502</v>
      </c>
      <c r="R14" s="20" t="n">
        <v>0.69296753</v>
      </c>
    </row>
    <row r="15" spans="1:18">
      <c r="A15" s="15" t="s">
        <v>357</v>
      </c>
      <c r="B15" s="17" t="n">
        <v>2863</v>
      </c>
      <c r="C15" s="18">
        <f>(2500.0/B15*100)</f>
        <v/>
      </c>
      <c r="D15" s="19" t="n">
        <v>363</v>
      </c>
      <c r="E15" s="18" t="n">
        <v>64.33222447999999</v>
      </c>
      <c r="F15" s="20" t="n">
        <v>2.15121675</v>
      </c>
      <c r="G15" s="18" t="n">
        <v>33.18039503</v>
      </c>
      <c r="H15" s="20" t="n">
        <v>2.30539291</v>
      </c>
      <c r="I15" s="18" t="s">
        <v>349</v>
      </c>
      <c r="J15" s="20" t="s">
        <v>349</v>
      </c>
      <c r="K15" s="18" t="n">
        <v>0.6166210600000001</v>
      </c>
      <c r="L15" s="20" t="n">
        <v>0.45638199</v>
      </c>
      <c r="M15" s="18" t="n">
        <v>0</v>
      </c>
      <c r="N15" s="20" t="n">
        <v>0</v>
      </c>
      <c r="O15" s="18" t="n">
        <v>0</v>
      </c>
      <c r="P15" s="20" t="n">
        <v>0</v>
      </c>
      <c r="Q15" s="18" t="n">
        <v>1.87075943</v>
      </c>
      <c r="R15" s="20" t="n">
        <v>0.67053971</v>
      </c>
    </row>
    <row r="16" spans="1:18">
      <c r="A16" s="15" t="s">
        <v>358</v>
      </c>
      <c r="B16" s="17" t="n">
        <v>3111</v>
      </c>
      <c r="C16" s="18">
        <f>(2732.0/B16*100)</f>
        <v/>
      </c>
      <c r="D16" s="19" t="n">
        <v>379</v>
      </c>
      <c r="E16" s="18" t="n">
        <v>70.21768134</v>
      </c>
      <c r="F16" s="20" t="n">
        <v>2.49116891</v>
      </c>
      <c r="G16" s="18" t="n">
        <v>20.06746727</v>
      </c>
      <c r="H16" s="20" t="n">
        <v>1.81091025</v>
      </c>
      <c r="I16" s="18" t="s">
        <v>349</v>
      </c>
      <c r="J16" s="20" t="s">
        <v>349</v>
      </c>
      <c r="K16" s="18" t="n">
        <v>2.80450343</v>
      </c>
      <c r="L16" s="20" t="n">
        <v>1.11839178</v>
      </c>
      <c r="M16" s="18" t="n">
        <v>0</v>
      </c>
      <c r="N16" s="20" t="n">
        <v>0</v>
      </c>
      <c r="O16" s="18" t="n">
        <v>0</v>
      </c>
      <c r="P16" s="20" t="n">
        <v>0</v>
      </c>
      <c r="Q16" s="18" t="n">
        <v>6.91034795</v>
      </c>
      <c r="R16" s="20" t="n">
        <v>1.40955166</v>
      </c>
    </row>
    <row r="17" spans="1:18">
      <c r="A17" s="15" t="s">
        <v>359</v>
      </c>
      <c r="B17" s="17" t="n">
        <v>3197</v>
      </c>
      <c r="C17" s="18">
        <f>(2814.0/B17*100)</f>
        <v/>
      </c>
      <c r="D17" s="19" t="n">
        <v>383</v>
      </c>
      <c r="E17" s="18" t="n">
        <v>69.08858218</v>
      </c>
      <c r="F17" s="20" t="n">
        <v>2.34611668</v>
      </c>
      <c r="G17" s="18" t="n">
        <v>23.85695271</v>
      </c>
      <c r="H17" s="20" t="n">
        <v>2.34486666</v>
      </c>
      <c r="I17" s="18" t="s">
        <v>349</v>
      </c>
      <c r="J17" s="20" t="s">
        <v>349</v>
      </c>
      <c r="K17" s="18" t="n">
        <v>0.52073139</v>
      </c>
      <c r="L17" s="20" t="n">
        <v>0.36963626</v>
      </c>
      <c r="M17" s="18" t="n">
        <v>0</v>
      </c>
      <c r="N17" s="20" t="n">
        <v>0</v>
      </c>
      <c r="O17" s="18" t="n">
        <v>0</v>
      </c>
      <c r="P17" s="20" t="n">
        <v>0</v>
      </c>
      <c r="Q17" s="18" t="n">
        <v>6.53373372</v>
      </c>
      <c r="R17" s="20" t="n">
        <v>1.32090558</v>
      </c>
    </row>
    <row r="18" spans="1:18">
      <c r="A18" s="15" t="s">
        <v>360</v>
      </c>
      <c r="B18" s="17" t="n">
        <v>2706</v>
      </c>
      <c r="C18" s="18">
        <f>(2392.0/B18*100)</f>
        <v/>
      </c>
      <c r="D18" s="19" t="n">
        <v>314</v>
      </c>
      <c r="E18" s="18" t="n">
        <v>82.29324241</v>
      </c>
      <c r="F18" s="20" t="n">
        <v>2.02332949</v>
      </c>
      <c r="G18" s="18" t="n">
        <v>11.20570058</v>
      </c>
      <c r="H18" s="20" t="n">
        <v>1.64219496</v>
      </c>
      <c r="I18" s="18" t="s">
        <v>349</v>
      </c>
      <c r="J18" s="20" t="s">
        <v>349</v>
      </c>
      <c r="K18" s="18" t="n">
        <v>1.43573928</v>
      </c>
      <c r="L18" s="20" t="n">
        <v>0.610376</v>
      </c>
      <c r="M18" s="18" t="n">
        <v>0</v>
      </c>
      <c r="N18" s="20" t="n">
        <v>0</v>
      </c>
      <c r="O18" s="18" t="n">
        <v>0</v>
      </c>
      <c r="P18" s="20" t="n">
        <v>0</v>
      </c>
      <c r="Q18" s="18" t="n">
        <v>5.06531773</v>
      </c>
      <c r="R18" s="20" t="n">
        <v>1.22467704</v>
      </c>
    </row>
    <row r="19" spans="1:18">
      <c r="A19" s="15" t="s">
        <v>361</v>
      </c>
      <c r="B19" s="17" t="n">
        <v>2850</v>
      </c>
      <c r="C19" s="18">
        <f>(2492.0/B19*100)</f>
        <v/>
      </c>
      <c r="D19" s="19" t="n">
        <v>358</v>
      </c>
      <c r="E19" s="18" t="n">
        <v>75.91009643</v>
      </c>
      <c r="F19" s="20" t="n">
        <v>2.37537072</v>
      </c>
      <c r="G19" s="18" t="n">
        <v>15.32326155</v>
      </c>
      <c r="H19" s="20" t="n">
        <v>1.7612263</v>
      </c>
      <c r="I19" s="18" t="s">
        <v>349</v>
      </c>
      <c r="J19" s="20" t="s">
        <v>349</v>
      </c>
      <c r="K19" s="18" t="n">
        <v>1.87845445</v>
      </c>
      <c r="L19" s="20" t="n">
        <v>0.9263655</v>
      </c>
      <c r="M19" s="18" t="n">
        <v>0</v>
      </c>
      <c r="N19" s="20" t="n">
        <v>0</v>
      </c>
      <c r="O19" s="18" t="n">
        <v>0</v>
      </c>
      <c r="P19" s="20" t="n">
        <v>0</v>
      </c>
      <c r="Q19" s="18" t="n">
        <v>6.88818757</v>
      </c>
      <c r="R19" s="20" t="n">
        <v>1.75980644</v>
      </c>
    </row>
    <row r="20" spans="1:18">
      <c r="A20" s="15" t="s">
        <v>362</v>
      </c>
      <c r="B20" s="17" t="n">
        <v>1741</v>
      </c>
      <c r="C20" s="18">
        <f>(1522.0/B20*100)</f>
        <v/>
      </c>
      <c r="D20" s="19" t="n">
        <v>219</v>
      </c>
      <c r="E20" s="18" t="n">
        <v>68.47300543</v>
      </c>
      <c r="F20" s="20" t="n">
        <v>3.28258457</v>
      </c>
      <c r="G20" s="18" t="n">
        <v>25.99768291</v>
      </c>
      <c r="H20" s="20" t="n">
        <v>3.04570866</v>
      </c>
      <c r="I20" s="18" t="s">
        <v>349</v>
      </c>
      <c r="J20" s="20" t="s">
        <v>349</v>
      </c>
      <c r="K20" s="18" t="n">
        <v>1.82581241</v>
      </c>
      <c r="L20" s="20" t="n">
        <v>1.100742</v>
      </c>
      <c r="M20" s="18" t="n">
        <v>0</v>
      </c>
      <c r="N20" s="20" t="n">
        <v>0</v>
      </c>
      <c r="O20" s="18" t="n">
        <v>0</v>
      </c>
      <c r="P20" s="20" t="n">
        <v>0</v>
      </c>
      <c r="Q20" s="18" t="n">
        <v>3.70349925</v>
      </c>
      <c r="R20" s="20" t="n">
        <v>1.40641441</v>
      </c>
    </row>
    <row r="21" spans="1:18">
      <c r="A21" s="15" t="s">
        <v>363</v>
      </c>
      <c r="B21" s="17" t="n">
        <v>2833</v>
      </c>
      <c r="C21" s="18">
        <f>(2377.0/B21*100)</f>
        <v/>
      </c>
      <c r="D21" s="19" t="n">
        <v>456</v>
      </c>
      <c r="E21" s="18" t="n">
        <v>77.01422617</v>
      </c>
      <c r="F21" s="20" t="n">
        <v>1.76100048</v>
      </c>
      <c r="G21" s="18" t="n">
        <v>20.98547482</v>
      </c>
      <c r="H21" s="20" t="n">
        <v>1.85460016</v>
      </c>
      <c r="I21" s="18" t="s">
        <v>349</v>
      </c>
      <c r="J21" s="20" t="s">
        <v>349</v>
      </c>
      <c r="K21" s="18" t="n">
        <v>0.3741584</v>
      </c>
      <c r="L21" s="20" t="n">
        <v>0.26052169</v>
      </c>
      <c r="M21" s="18" t="n">
        <v>0</v>
      </c>
      <c r="N21" s="20" t="n">
        <v>0</v>
      </c>
      <c r="O21" s="18" t="n">
        <v>0</v>
      </c>
      <c r="P21" s="20" t="n">
        <v>0</v>
      </c>
      <c r="Q21" s="18" t="n">
        <v>1.62614061</v>
      </c>
      <c r="R21" s="20" t="n">
        <v>0.64462374</v>
      </c>
    </row>
    <row r="22" spans="1:18">
      <c r="A22" s="15" t="s">
        <v>364</v>
      </c>
      <c r="B22" s="17" t="n">
        <v>3667</v>
      </c>
      <c r="C22" s="18">
        <f>(3207.0/B22*100)</f>
        <v/>
      </c>
      <c r="D22" s="19" t="n">
        <v>460</v>
      </c>
      <c r="E22" s="18" t="n">
        <v>71.44960591</v>
      </c>
      <c r="F22" s="20" t="n">
        <v>2.21717919</v>
      </c>
      <c r="G22" s="18" t="n">
        <v>22.57750995</v>
      </c>
      <c r="H22" s="20" t="n">
        <v>1.9600358</v>
      </c>
      <c r="I22" s="18" t="s">
        <v>349</v>
      </c>
      <c r="J22" s="20" t="s">
        <v>349</v>
      </c>
      <c r="K22" s="18" t="n">
        <v>1.02094503</v>
      </c>
      <c r="L22" s="20" t="n">
        <v>0.45959808</v>
      </c>
      <c r="M22" s="18" t="n">
        <v>0</v>
      </c>
      <c r="N22" s="20" t="n">
        <v>0</v>
      </c>
      <c r="O22" s="18" t="n">
        <v>0</v>
      </c>
      <c r="P22" s="20" t="n">
        <v>0</v>
      </c>
      <c r="Q22" s="18" t="n">
        <v>4.9519391</v>
      </c>
      <c r="R22" s="20" t="n">
        <v>1.16003404</v>
      </c>
    </row>
    <row r="23" spans="1:18">
      <c r="A23" s="15" t="s">
        <v>365</v>
      </c>
      <c r="B23" s="17" t="n">
        <v>5792</v>
      </c>
      <c r="C23" s="18">
        <f>(5057.0/B23*100)</f>
        <v/>
      </c>
      <c r="D23" s="19" t="n">
        <v>735</v>
      </c>
      <c r="E23" s="18" t="n">
        <v>72.40578843999999</v>
      </c>
      <c r="F23" s="20" t="n">
        <v>2.30903393</v>
      </c>
      <c r="G23" s="18" t="n">
        <v>21.28984894</v>
      </c>
      <c r="H23" s="20" t="n">
        <v>2.2201538</v>
      </c>
      <c r="I23" s="18" t="s">
        <v>349</v>
      </c>
      <c r="J23" s="20" t="s">
        <v>349</v>
      </c>
      <c r="K23" s="18" t="n">
        <v>1.82597358</v>
      </c>
      <c r="L23" s="20" t="n">
        <v>0.94828264</v>
      </c>
      <c r="M23" s="18" t="n">
        <v>0</v>
      </c>
      <c r="N23" s="20" t="n">
        <v>0</v>
      </c>
      <c r="O23" s="18" t="n">
        <v>0</v>
      </c>
      <c r="P23" s="20" t="n">
        <v>0</v>
      </c>
      <c r="Q23" s="18" t="n">
        <v>4.47838904</v>
      </c>
      <c r="R23" s="20" t="n">
        <v>1.18318113</v>
      </c>
    </row>
    <row r="24" spans="1:18">
      <c r="A24" s="15" t="s">
        <v>366</v>
      </c>
      <c r="B24" s="17" t="n">
        <v>3309</v>
      </c>
      <c r="C24" s="18">
        <f>(2884.0/B24*100)</f>
        <v/>
      </c>
      <c r="D24" s="19" t="n">
        <v>425</v>
      </c>
      <c r="E24" s="18" t="n">
        <v>44.85593434</v>
      </c>
      <c r="F24" s="20" t="n">
        <v>2.66421739</v>
      </c>
      <c r="G24" s="18" t="n">
        <v>51.75212766</v>
      </c>
      <c r="H24" s="20" t="n">
        <v>2.56248804</v>
      </c>
      <c r="I24" s="18" t="s">
        <v>349</v>
      </c>
      <c r="J24" s="20" t="s">
        <v>349</v>
      </c>
      <c r="K24" s="18" t="n">
        <v>0.67116771</v>
      </c>
      <c r="L24" s="20" t="n">
        <v>0.38600418</v>
      </c>
      <c r="M24" s="18" t="n">
        <v>0</v>
      </c>
      <c r="N24" s="20" t="n">
        <v>0</v>
      </c>
      <c r="O24" s="18" t="n">
        <v>0</v>
      </c>
      <c r="P24" s="20" t="n">
        <v>0</v>
      </c>
      <c r="Q24" s="18" t="n">
        <v>2.72077029</v>
      </c>
      <c r="R24" s="20" t="n">
        <v>0.80894171</v>
      </c>
    </row>
    <row r="25" spans="1:18">
      <c r="A25" s="15" t="s">
        <v>367</v>
      </c>
      <c r="B25" s="17" t="n">
        <v>2669</v>
      </c>
      <c r="C25" s="18">
        <f>(2340.0/B25*100)</f>
        <v/>
      </c>
      <c r="D25" s="19" t="n">
        <v>329</v>
      </c>
      <c r="E25" s="18" t="n">
        <v>57.63885023</v>
      </c>
      <c r="F25" s="20" t="n">
        <v>3.1097866</v>
      </c>
      <c r="G25" s="18" t="n">
        <v>41.46275724</v>
      </c>
      <c r="H25" s="20" t="n">
        <v>3.07601604</v>
      </c>
      <c r="I25" s="18" t="s">
        <v>349</v>
      </c>
      <c r="J25" s="20" t="s">
        <v>349</v>
      </c>
      <c r="K25" s="18" t="n">
        <v>0</v>
      </c>
      <c r="L25" s="20" t="n">
        <v>0</v>
      </c>
      <c r="M25" s="18" t="n">
        <v>0</v>
      </c>
      <c r="N25" s="20" t="n">
        <v>0</v>
      </c>
      <c r="O25" s="18" t="n">
        <v>0</v>
      </c>
      <c r="P25" s="20" t="n">
        <v>0</v>
      </c>
      <c r="Q25" s="18" t="n">
        <v>0.89839252</v>
      </c>
      <c r="R25" s="20" t="n">
        <v>0.51379937</v>
      </c>
    </row>
    <row r="26" spans="1:18">
      <c r="A26" s="15" t="s">
        <v>368</v>
      </c>
      <c r="B26" s="17" t="n">
        <v>2419</v>
      </c>
      <c r="C26" s="18">
        <f>(2121.0/B26*100)</f>
        <v/>
      </c>
      <c r="D26" s="19" t="n">
        <v>298</v>
      </c>
      <c r="E26" s="18" t="n">
        <v>83.62295266</v>
      </c>
      <c r="F26" s="20" t="n">
        <v>2.28882924</v>
      </c>
      <c r="G26" s="18" t="n">
        <v>14.39001094</v>
      </c>
      <c r="H26" s="20" t="n">
        <v>2.11772936</v>
      </c>
      <c r="I26" s="18" t="s">
        <v>349</v>
      </c>
      <c r="J26" s="20" t="s">
        <v>349</v>
      </c>
      <c r="K26" s="18" t="n">
        <v>0</v>
      </c>
      <c r="L26" s="20" t="n">
        <v>0</v>
      </c>
      <c r="M26" s="18" t="n">
        <v>0</v>
      </c>
      <c r="N26" s="20" t="n">
        <v>0</v>
      </c>
      <c r="O26" s="18" t="n">
        <v>0</v>
      </c>
      <c r="P26" s="20" t="n">
        <v>0</v>
      </c>
      <c r="Q26" s="18" t="n">
        <v>1.9870364</v>
      </c>
      <c r="R26" s="20" t="n">
        <v>0.78541307</v>
      </c>
    </row>
    <row r="27" spans="1:18">
      <c r="A27" s="15" t="s">
        <v>369</v>
      </c>
      <c r="B27" s="17" t="n">
        <v>2683</v>
      </c>
      <c r="C27" s="18">
        <f>(2370.0/B27*100)</f>
        <v/>
      </c>
      <c r="D27" s="19" t="n">
        <v>313</v>
      </c>
      <c r="E27" s="18" t="n">
        <v>75.46993175999999</v>
      </c>
      <c r="F27" s="20" t="n">
        <v>2.09577217</v>
      </c>
      <c r="G27" s="18" t="n">
        <v>21.34739282</v>
      </c>
      <c r="H27" s="20" t="n">
        <v>1.96959751</v>
      </c>
      <c r="I27" s="18" t="s">
        <v>349</v>
      </c>
      <c r="J27" s="20" t="s">
        <v>349</v>
      </c>
      <c r="K27" s="18" t="n">
        <v>0.30694081</v>
      </c>
      <c r="L27" s="20" t="n">
        <v>0.30656856</v>
      </c>
      <c r="M27" s="18" t="n">
        <v>0</v>
      </c>
      <c r="N27" s="20" t="n">
        <v>0</v>
      </c>
      <c r="O27" s="18" t="n">
        <v>0</v>
      </c>
      <c r="P27" s="20" t="n">
        <v>0</v>
      </c>
      <c r="Q27" s="18" t="n">
        <v>2.87573461</v>
      </c>
      <c r="R27" s="20" t="n">
        <v>0.9419987</v>
      </c>
    </row>
    <row r="28" spans="1:18">
      <c r="A28" s="15" t="s">
        <v>370</v>
      </c>
      <c r="B28" s="17" t="n">
        <v>3803</v>
      </c>
      <c r="C28" s="18">
        <f>(3375.0/B28*100)</f>
        <v/>
      </c>
      <c r="D28" s="19" t="n">
        <v>428</v>
      </c>
      <c r="E28" s="18" t="n">
        <v>94.34398706</v>
      </c>
      <c r="F28" s="20" t="n">
        <v>1.11863135</v>
      </c>
      <c r="G28" s="18" t="n">
        <v>3.53824092</v>
      </c>
      <c r="H28" s="20" t="n">
        <v>0.93171906</v>
      </c>
      <c r="I28" s="18" t="s">
        <v>349</v>
      </c>
      <c r="J28" s="20" t="s">
        <v>349</v>
      </c>
      <c r="K28" s="18" t="n">
        <v>0</v>
      </c>
      <c r="L28" s="20" t="n">
        <v>0</v>
      </c>
      <c r="M28" s="18" t="n">
        <v>0</v>
      </c>
      <c r="N28" s="20" t="n">
        <v>0</v>
      </c>
      <c r="O28" s="18" t="n">
        <v>0</v>
      </c>
      <c r="P28" s="20" t="n">
        <v>0</v>
      </c>
      <c r="Q28" s="18" t="n">
        <v>2.11777202</v>
      </c>
      <c r="R28" s="20" t="n">
        <v>0.76858233</v>
      </c>
    </row>
    <row r="29" spans="1:18">
      <c r="A29" s="15" t="s">
        <v>371</v>
      </c>
      <c r="B29" s="17" t="n">
        <v>2700</v>
      </c>
      <c r="C29" s="18">
        <f>(2389.0/B29*100)</f>
        <v/>
      </c>
      <c r="D29" s="19" t="n">
        <v>311</v>
      </c>
      <c r="E29" s="18" t="n">
        <v>69.40230551000001</v>
      </c>
      <c r="F29" s="20" t="n">
        <v>2.34159429</v>
      </c>
      <c r="G29" s="18" t="n">
        <v>29.11127865</v>
      </c>
      <c r="H29" s="20" t="n">
        <v>2.33172312</v>
      </c>
      <c r="I29" s="18" t="s">
        <v>349</v>
      </c>
      <c r="J29" s="20" t="s">
        <v>349</v>
      </c>
      <c r="K29" s="18" t="n">
        <v>0</v>
      </c>
      <c r="L29" s="20" t="n">
        <v>0</v>
      </c>
      <c r="M29" s="18" t="n">
        <v>0</v>
      </c>
      <c r="N29" s="20" t="n">
        <v>0</v>
      </c>
      <c r="O29" s="18" t="n">
        <v>0</v>
      </c>
      <c r="P29" s="20" t="n">
        <v>0</v>
      </c>
      <c r="Q29" s="18" t="n">
        <v>1.48641584</v>
      </c>
      <c r="R29" s="20" t="n">
        <v>0.71118174</v>
      </c>
    </row>
    <row r="30" spans="1:18">
      <c r="A30" s="15" t="s">
        <v>372</v>
      </c>
      <c r="B30" s="17" t="n">
        <v>2257</v>
      </c>
      <c r="C30" s="18">
        <f>(1971.0/B30*100)</f>
        <v/>
      </c>
      <c r="D30" s="19" t="n">
        <v>286</v>
      </c>
      <c r="E30" s="18" t="n">
        <v>67.58052334</v>
      </c>
      <c r="F30" s="20" t="n">
        <v>3.01653614</v>
      </c>
      <c r="G30" s="18" t="n">
        <v>26.22688931</v>
      </c>
      <c r="H30" s="20" t="n">
        <v>2.94149785</v>
      </c>
      <c r="I30" s="18" t="s">
        <v>349</v>
      </c>
      <c r="J30" s="20" t="s">
        <v>349</v>
      </c>
      <c r="K30" s="18" t="n">
        <v>0.63996251</v>
      </c>
      <c r="L30" s="20" t="n">
        <v>0.4284457</v>
      </c>
      <c r="M30" s="18" t="n">
        <v>0</v>
      </c>
      <c r="N30" s="20" t="n">
        <v>0</v>
      </c>
      <c r="O30" s="18" t="n">
        <v>0</v>
      </c>
      <c r="P30" s="20" t="n">
        <v>0</v>
      </c>
      <c r="Q30" s="18" t="n">
        <v>5.55262484</v>
      </c>
      <c r="R30" s="20" t="n">
        <v>1.29098473</v>
      </c>
    </row>
    <row r="31" spans="1:18">
      <c r="A31" s="15" t="s">
        <v>373</v>
      </c>
      <c r="B31" s="17" t="n">
        <v>2706</v>
      </c>
      <c r="C31" s="18">
        <f>(2375.0/B31*100)</f>
        <v/>
      </c>
      <c r="D31" s="19" t="n">
        <v>331</v>
      </c>
      <c r="E31" s="18" t="n">
        <v>64.94972337</v>
      </c>
      <c r="F31" s="20" t="n">
        <v>2.6998204</v>
      </c>
      <c r="G31" s="18" t="n">
        <v>29.0970813</v>
      </c>
      <c r="H31" s="20" t="n">
        <v>2.79305991</v>
      </c>
      <c r="I31" s="18" t="s">
        <v>349</v>
      </c>
      <c r="J31" s="20" t="s">
        <v>349</v>
      </c>
      <c r="K31" s="18" t="n">
        <v>1.32998508</v>
      </c>
      <c r="L31" s="20" t="n">
        <v>0.63398226</v>
      </c>
      <c r="M31" s="18" t="n">
        <v>0</v>
      </c>
      <c r="N31" s="20" t="n">
        <v>0</v>
      </c>
      <c r="O31" s="18" t="n">
        <v>0</v>
      </c>
      <c r="P31" s="20" t="n">
        <v>0</v>
      </c>
      <c r="Q31" s="18" t="n">
        <v>4.62321025</v>
      </c>
      <c r="R31" s="20" t="n">
        <v>1.12882838</v>
      </c>
    </row>
    <row r="32" spans="1:18">
      <c r="A32" s="15" t="s">
        <v>374</v>
      </c>
      <c r="B32" s="17" t="n">
        <v>2209</v>
      </c>
      <c r="C32" s="18">
        <f>(1858.0/B32*100)</f>
        <v/>
      </c>
      <c r="D32" s="19" t="n">
        <v>351</v>
      </c>
      <c r="E32" s="18" t="n">
        <v>83.47980195</v>
      </c>
      <c r="F32" s="20" t="n">
        <v>1.9070704</v>
      </c>
      <c r="G32" s="18" t="n">
        <v>14.30069283</v>
      </c>
      <c r="H32" s="20" t="n">
        <v>1.76600499</v>
      </c>
      <c r="I32" s="18" t="s">
        <v>349</v>
      </c>
      <c r="J32" s="20" t="s">
        <v>349</v>
      </c>
      <c r="K32" s="18" t="n">
        <v>0</v>
      </c>
      <c r="L32" s="20" t="n">
        <v>0</v>
      </c>
      <c r="M32" s="18" t="n">
        <v>0</v>
      </c>
      <c r="N32" s="20" t="n">
        <v>0</v>
      </c>
      <c r="O32" s="18" t="n">
        <v>0</v>
      </c>
      <c r="P32" s="20" t="n">
        <v>0</v>
      </c>
      <c r="Q32" s="18" t="n">
        <v>2.21950522</v>
      </c>
      <c r="R32" s="20" t="n">
        <v>0.90804263</v>
      </c>
    </row>
    <row r="33" spans="1:18">
      <c r="A33" s="15" t="s">
        <v>375</v>
      </c>
      <c r="B33" s="17" t="n">
        <v>3651</v>
      </c>
      <c r="C33" s="18">
        <f>(3213.0/B33*100)</f>
        <v/>
      </c>
      <c r="D33" s="19" t="n">
        <v>438</v>
      </c>
      <c r="E33" s="18" t="n">
        <v>81.66717331</v>
      </c>
      <c r="F33" s="20" t="n">
        <v>1.95831733</v>
      </c>
      <c r="G33" s="18" t="n">
        <v>13.71549975</v>
      </c>
      <c r="H33" s="20" t="n">
        <v>1.87349442</v>
      </c>
      <c r="I33" s="18" t="s">
        <v>349</v>
      </c>
      <c r="J33" s="20" t="s">
        <v>349</v>
      </c>
      <c r="K33" s="18" t="n">
        <v>1.09563823</v>
      </c>
      <c r="L33" s="20" t="n">
        <v>0.61536007</v>
      </c>
      <c r="M33" s="18" t="n">
        <v>0</v>
      </c>
      <c r="N33" s="20" t="n">
        <v>0</v>
      </c>
      <c r="O33" s="18" t="n">
        <v>0</v>
      </c>
      <c r="P33" s="20" t="n">
        <v>0</v>
      </c>
      <c r="Q33" s="18" t="n">
        <v>3.52168871</v>
      </c>
      <c r="R33" s="20" t="n">
        <v>0.9992189</v>
      </c>
    </row>
    <row r="34" spans="1:18">
      <c r="A34" s="15" t="s">
        <v>376</v>
      </c>
      <c r="B34" s="17" t="n">
        <v>3035</v>
      </c>
      <c r="C34" s="18">
        <f>(2677.0/B34*100)</f>
        <v/>
      </c>
      <c r="D34" s="19" t="n">
        <v>358</v>
      </c>
      <c r="E34" s="18" t="n">
        <v>73.80806758</v>
      </c>
      <c r="F34" s="20" t="n">
        <v>2.37697724</v>
      </c>
      <c r="G34" s="18" t="n">
        <v>20.60215421</v>
      </c>
      <c r="H34" s="20" t="n">
        <v>2.30193709</v>
      </c>
      <c r="I34" s="18" t="s">
        <v>349</v>
      </c>
      <c r="J34" s="20" t="s">
        <v>349</v>
      </c>
      <c r="K34" s="18" t="n">
        <v>0.24271131</v>
      </c>
      <c r="L34" s="20" t="n">
        <v>0.24319558</v>
      </c>
      <c r="M34" s="18" t="n">
        <v>0</v>
      </c>
      <c r="N34" s="20" t="n">
        <v>0</v>
      </c>
      <c r="O34" s="18" t="n">
        <v>0</v>
      </c>
      <c r="P34" s="20" t="n">
        <v>0</v>
      </c>
      <c r="Q34" s="18" t="n">
        <v>5.3470669</v>
      </c>
      <c r="R34" s="20" t="n">
        <v>1.19312151</v>
      </c>
    </row>
    <row r="35" spans="1:18">
      <c r="A35" s="15" t="s">
        <v>377</v>
      </c>
      <c r="B35" s="17" t="n">
        <v>2901</v>
      </c>
      <c r="C35" s="18">
        <f>(2547.0/B35*100)</f>
        <v/>
      </c>
      <c r="D35" s="19" t="n">
        <v>354</v>
      </c>
      <c r="E35" s="18" t="n">
        <v>75.33410883000001</v>
      </c>
      <c r="F35" s="20" t="n">
        <v>3.03953408</v>
      </c>
      <c r="G35" s="18" t="n">
        <v>21.89183999</v>
      </c>
      <c r="H35" s="20" t="n">
        <v>2.96527022</v>
      </c>
      <c r="I35" s="18" t="s">
        <v>349</v>
      </c>
      <c r="J35" s="20" t="s">
        <v>349</v>
      </c>
      <c r="K35" s="18" t="n">
        <v>0.65952983</v>
      </c>
      <c r="L35" s="20" t="n">
        <v>0.66418932</v>
      </c>
      <c r="M35" s="18" t="n">
        <v>0</v>
      </c>
      <c r="N35" s="20" t="n">
        <v>0</v>
      </c>
      <c r="O35" s="18" t="n">
        <v>0</v>
      </c>
      <c r="P35" s="20" t="n">
        <v>0</v>
      </c>
      <c r="Q35" s="18" t="n">
        <v>2.11452135</v>
      </c>
      <c r="R35" s="20" t="n">
        <v>0.7589726</v>
      </c>
    </row>
    <row r="36" spans="1:18">
      <c r="A36" s="15" t="s">
        <v>378</v>
      </c>
      <c r="B36" s="17" t="n">
        <v>3404</v>
      </c>
      <c r="C36" s="18">
        <f>(3006.0/B36*100)</f>
        <v/>
      </c>
      <c r="D36" s="19" t="n">
        <v>398</v>
      </c>
      <c r="E36" s="18" t="n">
        <v>78.67725452000001</v>
      </c>
      <c r="F36" s="20" t="n">
        <v>2.25864873</v>
      </c>
      <c r="G36" s="18" t="n">
        <v>15.25956334</v>
      </c>
      <c r="H36" s="20" t="n">
        <v>1.94699049</v>
      </c>
      <c r="I36" s="18" t="s">
        <v>349</v>
      </c>
      <c r="J36" s="20" t="s">
        <v>349</v>
      </c>
      <c r="K36" s="18" t="n">
        <v>1.17799625</v>
      </c>
      <c r="L36" s="20" t="n">
        <v>0.66425671</v>
      </c>
      <c r="M36" s="18" t="n">
        <v>0</v>
      </c>
      <c r="N36" s="20" t="n">
        <v>0</v>
      </c>
      <c r="O36" s="18" t="n">
        <v>0</v>
      </c>
      <c r="P36" s="20" t="n">
        <v>0</v>
      </c>
      <c r="Q36" s="18" t="n">
        <v>4.8851859</v>
      </c>
      <c r="R36" s="20" t="n">
        <v>0.98604221</v>
      </c>
    </row>
    <row r="37" spans="1:18">
      <c r="A37" s="15" t="s">
        <v>379</v>
      </c>
      <c r="B37" s="17" t="n">
        <v>2731</v>
      </c>
      <c r="C37" s="18">
        <f>(2424.0/B37*100)</f>
        <v/>
      </c>
      <c r="D37" s="19" t="n">
        <v>307</v>
      </c>
      <c r="E37" s="18" t="n">
        <v>65.9770542</v>
      </c>
      <c r="F37" s="20" t="n">
        <v>2.46779729</v>
      </c>
      <c r="G37" s="18" t="n">
        <v>26.29616101</v>
      </c>
      <c r="H37" s="20" t="n">
        <v>2.50617779</v>
      </c>
      <c r="I37" s="18" t="s">
        <v>349</v>
      </c>
      <c r="J37" s="20" t="s">
        <v>349</v>
      </c>
      <c r="K37" s="18" t="n">
        <v>1.92884036</v>
      </c>
      <c r="L37" s="20" t="n">
        <v>0.90942058</v>
      </c>
      <c r="M37" s="18" t="n">
        <v>0</v>
      </c>
      <c r="N37" s="20" t="n">
        <v>0</v>
      </c>
      <c r="O37" s="18" t="n">
        <v>0</v>
      </c>
      <c r="P37" s="20" t="n">
        <v>0</v>
      </c>
      <c r="Q37" s="18" t="n">
        <v>5.79794444</v>
      </c>
      <c r="R37" s="20" t="n">
        <v>1.29201103</v>
      </c>
    </row>
    <row r="38" spans="1:18">
      <c r="A38" s="15" t="s">
        <v>380</v>
      </c>
      <c r="B38" s="17" t="n">
        <v>2807</v>
      </c>
      <c r="C38" s="18">
        <f>(2344.0/B38*100)</f>
        <v/>
      </c>
      <c r="D38" s="19" t="n">
        <v>463</v>
      </c>
      <c r="E38" s="18" t="n">
        <v>65.49895902999999</v>
      </c>
      <c r="F38" s="20" t="n">
        <v>2.62063371</v>
      </c>
      <c r="G38" s="18" t="n">
        <v>27.34864093</v>
      </c>
      <c r="H38" s="20" t="n">
        <v>2.33145473</v>
      </c>
      <c r="I38" s="18" t="s">
        <v>349</v>
      </c>
      <c r="J38" s="20" t="s">
        <v>349</v>
      </c>
      <c r="K38" s="18" t="n">
        <v>1.28030551</v>
      </c>
      <c r="L38" s="20" t="n">
        <v>0.52829741</v>
      </c>
      <c r="M38" s="18" t="n">
        <v>0</v>
      </c>
      <c r="N38" s="20" t="n">
        <v>0</v>
      </c>
      <c r="O38" s="18" t="n">
        <v>0</v>
      </c>
      <c r="P38" s="20" t="n">
        <v>0</v>
      </c>
      <c r="Q38" s="18" t="n">
        <v>5.87209453</v>
      </c>
      <c r="R38" s="20" t="n">
        <v>1.23590231</v>
      </c>
    </row>
    <row r="39" spans="1:18">
      <c r="A39" s="15" t="s">
        <v>381</v>
      </c>
      <c r="B39" s="17" t="n">
        <v>2938</v>
      </c>
      <c r="C39" s="18">
        <f>(2578.0/B39*100)</f>
        <v/>
      </c>
      <c r="D39" s="19" t="n">
        <v>360</v>
      </c>
      <c r="E39" s="18" t="n">
        <v>89.38348151</v>
      </c>
      <c r="F39" s="20" t="n">
        <v>1.57103586</v>
      </c>
      <c r="G39" s="18" t="n">
        <v>5.56095779</v>
      </c>
      <c r="H39" s="20" t="n">
        <v>1.25661395</v>
      </c>
      <c r="I39" s="18" t="s">
        <v>349</v>
      </c>
      <c r="J39" s="20" t="s">
        <v>349</v>
      </c>
      <c r="K39" s="18" t="n">
        <v>1.56603334</v>
      </c>
      <c r="L39" s="20" t="n">
        <v>0.92893749</v>
      </c>
      <c r="M39" s="18" t="n">
        <v>0</v>
      </c>
      <c r="N39" s="20" t="n">
        <v>0</v>
      </c>
      <c r="O39" s="18" t="n">
        <v>0</v>
      </c>
      <c r="P39" s="20" t="n">
        <v>0</v>
      </c>
      <c r="Q39" s="18" t="n">
        <v>3.48952737</v>
      </c>
      <c r="R39" s="20" t="n">
        <v>0.99985279</v>
      </c>
    </row>
    <row r="40" spans="1:18">
      <c r="A40" s="15" t="s">
        <v>382</v>
      </c>
      <c r="B40" s="17" t="n">
        <v>6922</v>
      </c>
      <c r="C40" s="18">
        <f>(6077.0/B40*100)</f>
        <v/>
      </c>
      <c r="D40" s="19" t="n">
        <v>845</v>
      </c>
      <c r="E40" s="18" t="n">
        <v>72.15556863</v>
      </c>
      <c r="F40" s="20" t="n">
        <v>2.38260865</v>
      </c>
      <c r="G40" s="18" t="n">
        <v>24.39457657</v>
      </c>
      <c r="H40" s="20" t="n">
        <v>2.55243026</v>
      </c>
      <c r="I40" s="18" t="s">
        <v>349</v>
      </c>
      <c r="J40" s="20" t="s">
        <v>349</v>
      </c>
      <c r="K40" s="18" t="n">
        <v>0.45689664</v>
      </c>
      <c r="L40" s="20" t="n">
        <v>0.43810501</v>
      </c>
      <c r="M40" s="18" t="n">
        <v>0</v>
      </c>
      <c r="N40" s="20" t="n">
        <v>0</v>
      </c>
      <c r="O40" s="18" t="n">
        <v>0</v>
      </c>
      <c r="P40" s="20" t="n">
        <v>0</v>
      </c>
      <c r="Q40" s="18" t="n">
        <v>2.99295816</v>
      </c>
      <c r="R40" s="20" t="n">
        <v>0.82621418</v>
      </c>
    </row>
    <row r="41" spans="1:18">
      <c r="A41" s="15" t="s">
        <v>383</v>
      </c>
      <c r="B41" s="17" t="n">
        <v>2854</v>
      </c>
      <c r="C41" s="18">
        <f>(2513.0/B41*100)</f>
        <v/>
      </c>
      <c r="D41" s="19" t="n">
        <v>341</v>
      </c>
      <c r="E41" s="18" t="n">
        <v>78.32101965</v>
      </c>
      <c r="F41" s="20" t="n">
        <v>2.49148732</v>
      </c>
      <c r="G41" s="18" t="n">
        <v>19.92947108</v>
      </c>
      <c r="H41" s="20" t="n">
        <v>2.38994524</v>
      </c>
      <c r="I41" s="18" t="s">
        <v>349</v>
      </c>
      <c r="J41" s="20" t="s">
        <v>349</v>
      </c>
      <c r="K41" s="18" t="n">
        <v>0.6843823</v>
      </c>
      <c r="L41" s="20" t="n">
        <v>0.42571001</v>
      </c>
      <c r="M41" s="18" t="n">
        <v>0</v>
      </c>
      <c r="N41" s="20" t="n">
        <v>0</v>
      </c>
      <c r="O41" s="18" t="n">
        <v>0</v>
      </c>
      <c r="P41" s="20" t="n">
        <v>0</v>
      </c>
      <c r="Q41" s="18" t="n">
        <v>1.06512697</v>
      </c>
      <c r="R41" s="20" t="n">
        <v>0.54176999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(10848.0/B46*100)</f>
        <v/>
      </c>
      <c r="D46" s="19" t="n">
        <v>1225</v>
      </c>
      <c r="E46" s="18" t="n">
        <v>85.28871171</v>
      </c>
      <c r="F46" s="20" t="n">
        <v>1.26902404</v>
      </c>
      <c r="G46" s="18" t="n">
        <v>3.04921337</v>
      </c>
      <c r="H46" s="20" t="n">
        <v>0.63637151</v>
      </c>
      <c r="I46" s="18" t="s">
        <v>349</v>
      </c>
      <c r="J46" s="20" t="s">
        <v>349</v>
      </c>
      <c r="K46" s="18" t="n">
        <v>4.53548144</v>
      </c>
      <c r="L46" s="20" t="n">
        <v>0.73413151</v>
      </c>
      <c r="M46" s="18" t="n">
        <v>0</v>
      </c>
      <c r="N46" s="20" t="n">
        <v>0</v>
      </c>
      <c r="O46" s="18" t="n">
        <v>0</v>
      </c>
      <c r="P46" s="20" t="n">
        <v>0</v>
      </c>
      <c r="Q46" s="18" t="n">
        <v>7.12659347</v>
      </c>
      <c r="R46" s="20" t="n">
        <v>1.0069857</v>
      </c>
    </row>
    <row r="47" spans="1:18">
      <c r="A47" s="15" t="s">
        <v>389</v>
      </c>
      <c r="B47" s="17" t="n">
        <v>2823</v>
      </c>
      <c r="C47" s="18">
        <f>(2487.0/B47*100)</f>
        <v/>
      </c>
      <c r="D47" s="19" t="n">
        <v>336</v>
      </c>
      <c r="E47" s="18" t="n">
        <v>85.13143922</v>
      </c>
      <c r="F47" s="20" t="n">
        <v>2.31310744</v>
      </c>
      <c r="G47" s="18" t="n">
        <v>9.70071089</v>
      </c>
      <c r="H47" s="20" t="n">
        <v>1.85411187</v>
      </c>
      <c r="I47" s="18" t="s">
        <v>349</v>
      </c>
      <c r="J47" s="20" t="s">
        <v>349</v>
      </c>
      <c r="K47" s="18" t="n">
        <v>1.41490858</v>
      </c>
      <c r="L47" s="20" t="n">
        <v>0.62541992</v>
      </c>
      <c r="M47" s="18" t="n">
        <v>0</v>
      </c>
      <c r="N47" s="20" t="n">
        <v>0</v>
      </c>
      <c r="O47" s="18" t="n">
        <v>0</v>
      </c>
      <c r="P47" s="20" t="n">
        <v>0</v>
      </c>
      <c r="Q47" s="18" t="n">
        <v>3.75294131</v>
      </c>
      <c r="R47" s="20" t="n">
        <v>1.14619883</v>
      </c>
    </row>
    <row r="48" spans="1:18">
      <c r="A48" s="15" t="s">
        <v>390</v>
      </c>
      <c r="B48" s="17" t="n">
        <v>4682</v>
      </c>
      <c r="C48" s="18">
        <f>(4102.0/B48*100)</f>
        <v/>
      </c>
      <c r="D48" s="19" t="n">
        <v>580</v>
      </c>
      <c r="E48" s="18" t="n">
        <v>75.81291942</v>
      </c>
      <c r="F48" s="20" t="n">
        <v>2.27088543</v>
      </c>
      <c r="G48" s="18" t="n">
        <v>22.79588715</v>
      </c>
      <c r="H48" s="20" t="n">
        <v>2.31003284</v>
      </c>
      <c r="I48" s="18" t="s">
        <v>349</v>
      </c>
      <c r="J48" s="20" t="s">
        <v>349</v>
      </c>
      <c r="K48" s="18" t="n">
        <v>0</v>
      </c>
      <c r="L48" s="20" t="n">
        <v>0</v>
      </c>
      <c r="M48" s="18" t="n">
        <v>0</v>
      </c>
      <c r="N48" s="20" t="n">
        <v>0</v>
      </c>
      <c r="O48" s="18" t="n">
        <v>0</v>
      </c>
      <c r="P48" s="20" t="n">
        <v>0</v>
      </c>
      <c r="Q48" s="18" t="n">
        <v>1.39119343</v>
      </c>
      <c r="R48" s="20" t="n">
        <v>0.59836165</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(5417.0/B50*100)</f>
        <v/>
      </c>
      <c r="D50" s="19" t="n">
        <v>741</v>
      </c>
      <c r="E50" s="18" t="n">
        <v>92.55002634</v>
      </c>
      <c r="F50" s="20" t="n">
        <v>1.21353984</v>
      </c>
      <c r="G50" s="18" t="n">
        <v>4.17895195</v>
      </c>
      <c r="H50" s="20" t="n">
        <v>0.96249184</v>
      </c>
      <c r="I50" s="18" t="s">
        <v>349</v>
      </c>
      <c r="J50" s="20" t="s">
        <v>349</v>
      </c>
      <c r="K50" s="18" t="n">
        <v>1.50408899</v>
      </c>
      <c r="L50" s="20" t="n">
        <v>0.5495106400000001</v>
      </c>
      <c r="M50" s="18" t="n">
        <v>0</v>
      </c>
      <c r="N50" s="20" t="n">
        <v>0</v>
      </c>
      <c r="O50" s="18" t="n">
        <v>0</v>
      </c>
      <c r="P50" s="20" t="n">
        <v>0</v>
      </c>
      <c r="Q50" s="18" t="n">
        <v>1.76693272</v>
      </c>
      <c r="R50" s="20" t="n">
        <v>0.5898646</v>
      </c>
    </row>
    <row r="51" spans="1:18">
      <c r="A51" s="15" t="s">
        <v>393</v>
      </c>
      <c r="B51" s="17" t="n">
        <v>3494</v>
      </c>
      <c r="C51" s="18">
        <f>(3107.0/B51*100)</f>
        <v/>
      </c>
      <c r="D51" s="19" t="n">
        <v>387</v>
      </c>
      <c r="E51" s="18" t="n">
        <v>94.26810608</v>
      </c>
      <c r="F51" s="20" t="n">
        <v>1.35248806</v>
      </c>
      <c r="G51" s="18" t="n">
        <v>0.75859097</v>
      </c>
      <c r="H51" s="20" t="n">
        <v>0.41022802</v>
      </c>
      <c r="I51" s="18" t="s">
        <v>349</v>
      </c>
      <c r="J51" s="20" t="s">
        <v>349</v>
      </c>
      <c r="K51" s="18" t="n">
        <v>0.95798081</v>
      </c>
      <c r="L51" s="20" t="n">
        <v>0.68470393</v>
      </c>
      <c r="M51" s="18" t="n">
        <v>0</v>
      </c>
      <c r="N51" s="20" t="n">
        <v>0</v>
      </c>
      <c r="O51" s="18" t="n">
        <v>0</v>
      </c>
      <c r="P51" s="20" t="n">
        <v>0</v>
      </c>
      <c r="Q51" s="18" t="n">
        <v>4.01532214</v>
      </c>
      <c r="R51" s="20" t="n">
        <v>1.10772729</v>
      </c>
    </row>
    <row r="52" spans="1:18">
      <c r="A52" s="15" t="s">
        <v>394</v>
      </c>
      <c r="B52" s="17" t="n">
        <v>3013</v>
      </c>
      <c r="C52" s="18">
        <f>(2645.0/B52*100)</f>
        <v/>
      </c>
      <c r="D52" s="19" t="n">
        <v>368</v>
      </c>
      <c r="E52" s="18" t="n">
        <v>80.7231555</v>
      </c>
      <c r="F52" s="20" t="n">
        <v>2.31389744</v>
      </c>
      <c r="G52" s="18" t="n">
        <v>12.77787031</v>
      </c>
      <c r="H52" s="20" t="n">
        <v>1.89188105</v>
      </c>
      <c r="I52" s="18" t="s">
        <v>349</v>
      </c>
      <c r="J52" s="20" t="s">
        <v>349</v>
      </c>
      <c r="K52" s="18" t="n">
        <v>0.5396658</v>
      </c>
      <c r="L52" s="20" t="n">
        <v>0.37433717</v>
      </c>
      <c r="M52" s="18" t="n">
        <v>0</v>
      </c>
      <c r="N52" s="20" t="n">
        <v>0</v>
      </c>
      <c r="O52" s="18" t="n">
        <v>0</v>
      </c>
      <c r="P52" s="20" t="n">
        <v>0</v>
      </c>
      <c r="Q52" s="18" t="n">
        <v>5.95930839</v>
      </c>
      <c r="R52" s="20" t="n">
        <v>1.31618172</v>
      </c>
    </row>
    <row r="53" spans="1:18">
      <c r="A53" s="15" t="s">
        <v>395</v>
      </c>
      <c r="B53" s="17" t="n">
        <v>2760</v>
      </c>
      <c r="C53" s="18">
        <f>(2421.0/B53*100)</f>
        <v/>
      </c>
      <c r="D53" s="19" t="n">
        <v>339</v>
      </c>
      <c r="E53" s="18" t="n">
        <v>80.47285293</v>
      </c>
      <c r="F53" s="20" t="n">
        <v>2.14129976</v>
      </c>
      <c r="G53" s="18" t="n">
        <v>14.43646674</v>
      </c>
      <c r="H53" s="20" t="n">
        <v>2.10554578</v>
      </c>
      <c r="I53" s="18" t="s">
        <v>349</v>
      </c>
      <c r="J53" s="20" t="s">
        <v>349</v>
      </c>
      <c r="K53" s="18" t="n">
        <v>0.8459671</v>
      </c>
      <c r="L53" s="20" t="n">
        <v>0.51401171</v>
      </c>
      <c r="M53" s="18" t="n">
        <v>0</v>
      </c>
      <c r="N53" s="20" t="n">
        <v>0</v>
      </c>
      <c r="O53" s="18" t="n">
        <v>0</v>
      </c>
      <c r="P53" s="20" t="n">
        <v>0</v>
      </c>
      <c r="Q53" s="18" t="n">
        <v>4.24471324</v>
      </c>
      <c r="R53" s="20" t="n">
        <v>1.05697314</v>
      </c>
    </row>
    <row r="54" spans="1:18">
      <c r="A54" s="15" t="s">
        <v>396</v>
      </c>
      <c r="B54" s="17" t="n">
        <v>2474</v>
      </c>
      <c r="C54" s="18">
        <f>(2086.0/B54*100)</f>
        <v/>
      </c>
      <c r="D54" s="19" t="n">
        <v>388</v>
      </c>
      <c r="E54" s="18" t="n">
        <v>79.14690862</v>
      </c>
      <c r="F54" s="20" t="n">
        <v>2.31208166</v>
      </c>
      <c r="G54" s="18" t="n">
        <v>0.2815831</v>
      </c>
      <c r="H54" s="20" t="n">
        <v>0.31133602</v>
      </c>
      <c r="I54" s="18" t="s">
        <v>349</v>
      </c>
      <c r="J54" s="20" t="s">
        <v>349</v>
      </c>
      <c r="K54" s="18" t="n">
        <v>16.38219689</v>
      </c>
      <c r="L54" s="20" t="n">
        <v>2.13057582</v>
      </c>
      <c r="M54" s="18" t="n">
        <v>0</v>
      </c>
      <c r="N54" s="20" t="n">
        <v>0</v>
      </c>
      <c r="O54" s="18" t="n">
        <v>0</v>
      </c>
      <c r="P54" s="20" t="n">
        <v>0</v>
      </c>
      <c r="Q54" s="18" t="n">
        <v>4.18931139</v>
      </c>
      <c r="R54" s="20" t="n">
        <v>0.92774912</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(2323.0/B56*100)</f>
        <v/>
      </c>
      <c r="D56" s="19" t="n">
        <v>352</v>
      </c>
      <c r="E56" s="18" t="n">
        <v>69.94981626000001</v>
      </c>
      <c r="F56" s="20" t="n">
        <v>2.52441745</v>
      </c>
      <c r="G56" s="18" t="n">
        <v>28.68427381</v>
      </c>
      <c r="H56" s="20" t="n">
        <v>2.51041719</v>
      </c>
      <c r="I56" s="18" t="s">
        <v>349</v>
      </c>
      <c r="J56" s="20" t="s">
        <v>349</v>
      </c>
      <c r="K56" s="18" t="n">
        <v>0</v>
      </c>
      <c r="L56" s="20" t="n">
        <v>0</v>
      </c>
      <c r="M56" s="18" t="n">
        <v>0</v>
      </c>
      <c r="N56" s="20" t="n">
        <v>0</v>
      </c>
      <c r="O56" s="18" t="n">
        <v>0</v>
      </c>
      <c r="P56" s="20" t="n">
        <v>0</v>
      </c>
      <c r="Q56" s="18" t="n">
        <v>1.36590993</v>
      </c>
      <c r="R56" s="20" t="n">
        <v>0.69649901</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(2819.0/B61*100)</f>
        <v/>
      </c>
      <c r="D61" s="19" t="n">
        <v>382</v>
      </c>
      <c r="E61" s="18" t="n">
        <v>77.49555295</v>
      </c>
      <c r="F61" s="20" t="n">
        <v>2.33486004</v>
      </c>
      <c r="G61" s="18" t="n">
        <v>20.04336117</v>
      </c>
      <c r="H61" s="20" t="n">
        <v>2.20674401</v>
      </c>
      <c r="I61" s="18" t="s">
        <v>349</v>
      </c>
      <c r="J61" s="20" t="s">
        <v>349</v>
      </c>
      <c r="K61" s="18" t="n">
        <v>0.96820332</v>
      </c>
      <c r="L61" s="20" t="n">
        <v>0.56399624</v>
      </c>
      <c r="M61" s="18" t="n">
        <v>0</v>
      </c>
      <c r="N61" s="20" t="n">
        <v>0</v>
      </c>
      <c r="O61" s="18" t="n">
        <v>0</v>
      </c>
      <c r="P61" s="20" t="n">
        <v>0</v>
      </c>
      <c r="Q61" s="18" t="n">
        <v>1.49288255</v>
      </c>
      <c r="R61" s="20" t="n">
        <v>0.6639097900000001</v>
      </c>
    </row>
    <row r="62" spans="1:18">
      <c r="A62" s="15" t="s">
        <v>404</v>
      </c>
      <c r="B62" s="17" t="n">
        <v>2230</v>
      </c>
      <c r="C62" s="18">
        <f>(1949.0/B62*100)</f>
        <v/>
      </c>
      <c r="D62" s="19" t="n">
        <v>281</v>
      </c>
      <c r="E62" s="18" t="n">
        <v>71.27666186</v>
      </c>
      <c r="F62" s="20" t="n">
        <v>2.75017748</v>
      </c>
      <c r="G62" s="18" t="n">
        <v>28.37001782</v>
      </c>
      <c r="H62" s="20" t="n">
        <v>2.74129162</v>
      </c>
      <c r="I62" s="18" t="s">
        <v>349</v>
      </c>
      <c r="J62" s="20" t="s">
        <v>349</v>
      </c>
      <c r="K62" s="18" t="n">
        <v>0</v>
      </c>
      <c r="L62" s="20" t="n">
        <v>0</v>
      </c>
      <c r="M62" s="18" t="n">
        <v>0</v>
      </c>
      <c r="N62" s="20" t="n">
        <v>0</v>
      </c>
      <c r="O62" s="18" t="n">
        <v>0</v>
      </c>
      <c r="P62" s="20" t="n">
        <v>0</v>
      </c>
      <c r="Q62" s="18" t="n">
        <v>0.35332032</v>
      </c>
      <c r="R62" s="20" t="n">
        <v>0.35330458</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(2437.0/B66*100)</f>
        <v/>
      </c>
      <c r="D66" s="19" t="n">
        <v>334</v>
      </c>
      <c r="E66" s="18" t="n">
        <v>80.50528715999999</v>
      </c>
      <c r="F66" s="20" t="n">
        <v>2.27591033</v>
      </c>
      <c r="G66" s="18" t="n">
        <v>6.90426346</v>
      </c>
      <c r="H66" s="20" t="n">
        <v>1.37066794</v>
      </c>
      <c r="I66" s="18" t="s">
        <v>349</v>
      </c>
      <c r="J66" s="20" t="s">
        <v>349</v>
      </c>
      <c r="K66" s="18" t="n">
        <v>2.30240142</v>
      </c>
      <c r="L66" s="20" t="n">
        <v>0.81274501</v>
      </c>
      <c r="M66" s="18" t="n">
        <v>0</v>
      </c>
      <c r="N66" s="20" t="n">
        <v>0</v>
      </c>
      <c r="O66" s="18" t="n">
        <v>0</v>
      </c>
      <c r="P66" s="20" t="n">
        <v>0</v>
      </c>
      <c r="Q66" s="18" t="n">
        <v>10.28804796</v>
      </c>
      <c r="R66" s="20" t="n">
        <v>1.92250062</v>
      </c>
    </row>
    <row r="67" spans="1:18">
      <c r="A67" s="15" t="s">
        <v>409</v>
      </c>
      <c r="B67" s="17" t="n">
        <v>3460</v>
      </c>
      <c r="C67" s="18">
        <f>(3078.0/B67*100)</f>
        <v/>
      </c>
      <c r="D67" s="19" t="n">
        <v>382</v>
      </c>
      <c r="E67" s="18" t="n">
        <v>91.97266312000001</v>
      </c>
      <c r="F67" s="20" t="n">
        <v>1.34436261</v>
      </c>
      <c r="G67" s="18" t="n">
        <v>2.32653903</v>
      </c>
      <c r="H67" s="20" t="n">
        <v>0.93923569</v>
      </c>
      <c r="I67" s="18" t="s">
        <v>349</v>
      </c>
      <c r="J67" s="20" t="s">
        <v>349</v>
      </c>
      <c r="K67" s="18" t="n">
        <v>1.21430975</v>
      </c>
      <c r="L67" s="20" t="n">
        <v>0.55034851</v>
      </c>
      <c r="M67" s="18" t="n">
        <v>0</v>
      </c>
      <c r="N67" s="20" t="n">
        <v>0</v>
      </c>
      <c r="O67" s="18" t="n">
        <v>0</v>
      </c>
      <c r="P67" s="20" t="n">
        <v>0</v>
      </c>
      <c r="Q67" s="18" t="n">
        <v>4.4864881</v>
      </c>
      <c r="R67" s="20" t="n">
        <v>0.97171292</v>
      </c>
    </row>
    <row r="68" spans="1:18">
      <c r="A68" s="15" t="s">
        <v>410</v>
      </c>
      <c r="B68" s="17" t="n">
        <v>6034</v>
      </c>
      <c r="C68" s="18">
        <f>(5025.0/B68*100)</f>
        <v/>
      </c>
      <c r="D68" s="19" t="n">
        <v>1009</v>
      </c>
      <c r="E68" s="18" t="n">
        <v>87.00602308000001</v>
      </c>
      <c r="F68" s="20" t="n">
        <v>1.14366834</v>
      </c>
      <c r="G68" s="18" t="n">
        <v>7.06981842</v>
      </c>
      <c r="H68" s="20" t="n">
        <v>0.75019344</v>
      </c>
      <c r="I68" s="18" t="s">
        <v>349</v>
      </c>
      <c r="J68" s="20" t="s">
        <v>349</v>
      </c>
      <c r="K68" s="18" t="n">
        <v>2.64084681</v>
      </c>
      <c r="L68" s="20" t="n">
        <v>0.52098839</v>
      </c>
      <c r="M68" s="18" t="n">
        <v>0</v>
      </c>
      <c r="N68" s="20" t="n">
        <v>0</v>
      </c>
      <c r="O68" s="18" t="n">
        <v>0</v>
      </c>
      <c r="P68" s="20" t="n">
        <v>0</v>
      </c>
      <c r="Q68" s="18" t="n">
        <v>3.2833117</v>
      </c>
      <c r="R68" s="20" t="n">
        <v>0.59743389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(2726.0/B70*100)</f>
        <v/>
      </c>
      <c r="D70" s="19" t="n">
        <v>381</v>
      </c>
      <c r="E70" s="18" t="n">
        <v>82.20254834000001</v>
      </c>
      <c r="F70" s="20" t="n">
        <v>2.53998323</v>
      </c>
      <c r="G70" s="18" t="n">
        <v>12.27378536</v>
      </c>
      <c r="H70" s="20" t="n">
        <v>2.30008853</v>
      </c>
      <c r="I70" s="18" t="s">
        <v>349</v>
      </c>
      <c r="J70" s="20" t="s">
        <v>349</v>
      </c>
      <c r="K70" s="18" t="n">
        <v>1.64900321</v>
      </c>
      <c r="L70" s="20" t="n">
        <v>0.44412079</v>
      </c>
      <c r="M70" s="18" t="n">
        <v>0</v>
      </c>
      <c r="N70" s="20" t="n">
        <v>0</v>
      </c>
      <c r="O70" s="18" t="n">
        <v>0</v>
      </c>
      <c r="P70" s="20" t="n">
        <v>0</v>
      </c>
      <c r="Q70" s="18" t="n">
        <v>3.87466308</v>
      </c>
      <c r="R70" s="20" t="n">
        <v>1.34477032</v>
      </c>
    </row>
    <row r="71" spans="1:18">
      <c r="A71" s="15" t="s">
        <v>413</v>
      </c>
      <c r="B71" s="17" t="n">
        <v>2973</v>
      </c>
      <c r="C71" s="18">
        <f>(2613.0/B71*100)</f>
        <v/>
      </c>
      <c r="D71" s="19" t="n">
        <v>360</v>
      </c>
      <c r="E71" s="18" t="n">
        <v>60.78901529</v>
      </c>
      <c r="F71" s="20" t="n">
        <v>2.78785201</v>
      </c>
      <c r="G71" s="18" t="n">
        <v>38.09148108</v>
      </c>
      <c r="H71" s="20" t="n">
        <v>2.79781167</v>
      </c>
      <c r="I71" s="18" t="s">
        <v>349</v>
      </c>
      <c r="J71" s="20" t="s">
        <v>349</v>
      </c>
      <c r="K71" s="18" t="n">
        <v>0.32368251</v>
      </c>
      <c r="L71" s="20" t="n">
        <v>0.325956</v>
      </c>
      <c r="M71" s="18" t="n">
        <v>0</v>
      </c>
      <c r="N71" s="20" t="n">
        <v>0</v>
      </c>
      <c r="O71" s="18" t="n">
        <v>0</v>
      </c>
      <c r="P71" s="20" t="n">
        <v>0</v>
      </c>
      <c r="Q71" s="18" t="n">
        <v>0.79582111</v>
      </c>
      <c r="R71" s="20" t="n">
        <v>0.40814581</v>
      </c>
    </row>
    <row r="72" spans="1:18">
      <c r="A72" s="15" t="s">
        <v>414</v>
      </c>
      <c r="B72" s="17" t="n">
        <v>3819</v>
      </c>
      <c r="C72" s="18">
        <f>(3345.0/B72*100)</f>
        <v/>
      </c>
      <c r="D72" s="19" t="n">
        <v>474</v>
      </c>
      <c r="E72" s="18" t="n">
        <v>73.43646294</v>
      </c>
      <c r="F72" s="20" t="n">
        <v>2.47560157</v>
      </c>
      <c r="G72" s="18" t="n">
        <v>25.65114094</v>
      </c>
      <c r="H72" s="20" t="n">
        <v>2.45073952</v>
      </c>
      <c r="I72" s="18" t="s">
        <v>349</v>
      </c>
      <c r="J72" s="20" t="s">
        <v>349</v>
      </c>
      <c r="K72" s="18" t="n">
        <v>0</v>
      </c>
      <c r="L72" s="20" t="n">
        <v>0</v>
      </c>
      <c r="M72" s="18" t="n">
        <v>0</v>
      </c>
      <c r="N72" s="20" t="n">
        <v>0</v>
      </c>
      <c r="O72" s="18" t="n">
        <v>0</v>
      </c>
      <c r="P72" s="20" t="n">
        <v>0</v>
      </c>
      <c r="Q72" s="18" t="n">
        <v>0.91239612</v>
      </c>
      <c r="R72" s="20" t="n">
        <v>0.46676176</v>
      </c>
    </row>
    <row r="73" spans="1:18">
      <c r="A73" s="15" t="s">
        <v>415</v>
      </c>
      <c r="B73" s="17" t="n">
        <v>4652</v>
      </c>
      <c r="C73" s="18">
        <f>(4120.0/B73*100)</f>
        <v/>
      </c>
      <c r="D73" s="19" t="n">
        <v>532</v>
      </c>
      <c r="E73" s="18" t="n">
        <v>96.94036452</v>
      </c>
      <c r="F73" s="20" t="n">
        <v>0.80877725</v>
      </c>
      <c r="G73" s="18" t="n">
        <v>2.78745286</v>
      </c>
      <c r="H73" s="20" t="n">
        <v>0.76282297</v>
      </c>
      <c r="I73" s="18" t="s">
        <v>349</v>
      </c>
      <c r="J73" s="20" t="s">
        <v>349</v>
      </c>
      <c r="K73" s="18" t="n">
        <v>0</v>
      </c>
      <c r="L73" s="20" t="n">
        <v>0</v>
      </c>
      <c r="M73" s="18" t="n">
        <v>0</v>
      </c>
      <c r="N73" s="20" t="n">
        <v>0</v>
      </c>
      <c r="O73" s="18" t="n">
        <v>0</v>
      </c>
      <c r="P73" s="20" t="n">
        <v>0</v>
      </c>
      <c r="Q73" s="18" t="n">
        <v>0.27218262</v>
      </c>
      <c r="R73" s="20" t="n">
        <v>0.26948647</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(2636.0/B75*100)</f>
        <v/>
      </c>
      <c r="D75" s="19" t="n">
        <v>333</v>
      </c>
      <c r="E75" s="18" t="n">
        <v>85.54911273</v>
      </c>
      <c r="F75" s="20" t="n">
        <v>1.99499561</v>
      </c>
      <c r="G75" s="18" t="n">
        <v>4.48751068</v>
      </c>
      <c r="H75" s="20" t="n">
        <v>1.22497841</v>
      </c>
      <c r="I75" s="18" t="s">
        <v>349</v>
      </c>
      <c r="J75" s="20" t="s">
        <v>349</v>
      </c>
      <c r="K75" s="18" t="n">
        <v>4.14996416</v>
      </c>
      <c r="L75" s="20" t="n">
        <v>1.16809187</v>
      </c>
      <c r="M75" s="18" t="n">
        <v>0</v>
      </c>
      <c r="N75" s="20" t="n">
        <v>0</v>
      </c>
      <c r="O75" s="18" t="n">
        <v>0</v>
      </c>
      <c r="P75" s="20" t="n">
        <v>0</v>
      </c>
      <c r="Q75" s="18" t="n">
        <v>5.81341244</v>
      </c>
      <c r="R75" s="20" t="n">
        <v>1.25815724</v>
      </c>
    </row>
    <row r="76" spans="1:18">
      <c r="A76" s="15" t="s">
        <v>418</v>
      </c>
      <c r="B76" s="17" t="n">
        <v>7115</v>
      </c>
      <c r="C76" s="18">
        <f>(6246.0/B76*100)</f>
        <v/>
      </c>
      <c r="D76" s="19" t="n">
        <v>869</v>
      </c>
      <c r="E76" s="18" t="n">
        <v>89.48852675000001</v>
      </c>
      <c r="F76" s="20" t="n">
        <v>1.37791574</v>
      </c>
      <c r="G76" s="18" t="n">
        <v>8.03361591</v>
      </c>
      <c r="H76" s="20" t="n">
        <v>1.15759839</v>
      </c>
      <c r="I76" s="18" t="s">
        <v>349</v>
      </c>
      <c r="J76" s="20" t="s">
        <v>349</v>
      </c>
      <c r="K76" s="18" t="n">
        <v>1.40972062</v>
      </c>
      <c r="L76" s="20" t="n">
        <v>0.47407062</v>
      </c>
      <c r="M76" s="18" t="n">
        <v>0</v>
      </c>
      <c r="N76" s="20" t="n">
        <v>0</v>
      </c>
      <c r="O76" s="18" t="n">
        <v>0</v>
      </c>
      <c r="P76" s="20" t="n">
        <v>0</v>
      </c>
      <c r="Q76" s="18" t="n">
        <v>1.06813672</v>
      </c>
      <c r="R76" s="20" t="n">
        <v>0.3543248</v>
      </c>
    </row>
    <row r="77" spans="1:18">
      <c r="A77" s="15" t="s">
        <v>419</v>
      </c>
      <c r="B77" s="17" t="n">
        <v>3154</v>
      </c>
      <c r="C77" s="18">
        <f>(2794.0/B77*100)</f>
        <v/>
      </c>
      <c r="D77" s="19" t="n">
        <v>360</v>
      </c>
      <c r="E77" s="18" t="n">
        <v>79.75616098</v>
      </c>
      <c r="F77" s="20" t="n">
        <v>2.48435779</v>
      </c>
      <c r="G77" s="18" t="n">
        <v>6.76273555</v>
      </c>
      <c r="H77" s="20" t="n">
        <v>1.50562487</v>
      </c>
      <c r="I77" s="18" t="s">
        <v>349</v>
      </c>
      <c r="J77" s="20" t="s">
        <v>349</v>
      </c>
      <c r="K77" s="18" t="n">
        <v>2.97009705</v>
      </c>
      <c r="L77" s="20" t="n">
        <v>0.91614936</v>
      </c>
      <c r="M77" s="18" t="n">
        <v>0</v>
      </c>
      <c r="N77" s="20" t="n">
        <v>0</v>
      </c>
      <c r="O77" s="18" t="n">
        <v>0</v>
      </c>
      <c r="P77" s="20" t="n">
        <v>0</v>
      </c>
      <c r="Q77" s="18" t="n">
        <v>10.51100642</v>
      </c>
      <c r="R77" s="20" t="n">
        <v>1.86170137</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(4139.0/B81*100)</f>
        <v/>
      </c>
      <c r="D81" s="19" t="n">
        <v>559</v>
      </c>
      <c r="E81" s="18" t="n">
        <v>96.31375056</v>
      </c>
      <c r="F81" s="20" t="n">
        <v>0.97502309</v>
      </c>
      <c r="G81" s="18" t="n">
        <v>3.16509162</v>
      </c>
      <c r="H81" s="20" t="n">
        <v>0.90939876</v>
      </c>
      <c r="I81" s="18" t="s">
        <v>349</v>
      </c>
      <c r="J81" s="20" t="s">
        <v>349</v>
      </c>
      <c r="K81" s="18" t="n">
        <v>0.22775595</v>
      </c>
      <c r="L81" s="20" t="n">
        <v>0.22553693</v>
      </c>
      <c r="M81" s="18" t="n">
        <v>0</v>
      </c>
      <c r="N81" s="20" t="n">
        <v>0</v>
      </c>
      <c r="O81" s="18" t="n">
        <v>0</v>
      </c>
      <c r="P81" s="20" t="n">
        <v>0</v>
      </c>
      <c r="Q81" s="18" t="n">
        <v>0.29340187</v>
      </c>
      <c r="R81" s="20" t="n">
        <v>0.28041069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(6262.0/B7*100)</f>
        <v/>
      </c>
      <c r="D7" s="19" t="n">
        <v>901</v>
      </c>
      <c r="E7" s="18" t="n">
        <v>63.40715758</v>
      </c>
      <c r="F7" s="20" t="n">
        <v>2.07444696</v>
      </c>
      <c r="G7" s="18" t="n">
        <v>28.85679854</v>
      </c>
      <c r="H7" s="20" t="n">
        <v>2.00991893</v>
      </c>
      <c r="I7" s="18" t="s">
        <v>349</v>
      </c>
      <c r="J7" s="20" t="s">
        <v>349</v>
      </c>
      <c r="K7" s="18" t="n">
        <v>0.8983154800000001</v>
      </c>
      <c r="L7" s="20" t="n">
        <v>0.28576501</v>
      </c>
      <c r="M7" s="18" t="n">
        <v>0</v>
      </c>
      <c r="N7" s="20" t="n">
        <v>0</v>
      </c>
      <c r="O7" s="18" t="n">
        <v>0</v>
      </c>
      <c r="P7" s="20" t="n">
        <v>0</v>
      </c>
      <c r="Q7" s="18" t="n">
        <v>6.8377284</v>
      </c>
      <c r="R7" s="20" t="n">
        <v>0.85900059</v>
      </c>
    </row>
    <row r="8" spans="1:18">
      <c r="A8" s="15" t="s">
        <v>350</v>
      </c>
      <c r="B8" s="17" t="n">
        <v>3443</v>
      </c>
      <c r="C8" s="18">
        <f>(3033.0/B8*100)</f>
        <v/>
      </c>
      <c r="D8" s="19" t="n">
        <v>410</v>
      </c>
      <c r="E8" s="18" t="n">
        <v>61.45008945</v>
      </c>
      <c r="F8" s="20" t="n">
        <v>2.41179773</v>
      </c>
      <c r="G8" s="18" t="n">
        <v>27.67571187</v>
      </c>
      <c r="H8" s="20" t="n">
        <v>2.49365705</v>
      </c>
      <c r="I8" s="18" t="s">
        <v>349</v>
      </c>
      <c r="J8" s="20" t="s">
        <v>349</v>
      </c>
      <c r="K8" s="18" t="n">
        <v>2.28411553</v>
      </c>
      <c r="L8" s="20" t="n">
        <v>0.78770925</v>
      </c>
      <c r="M8" s="18" t="n">
        <v>0</v>
      </c>
      <c r="N8" s="20" t="n">
        <v>0</v>
      </c>
      <c r="O8" s="18" t="n">
        <v>0</v>
      </c>
      <c r="P8" s="20" t="n">
        <v>0</v>
      </c>
      <c r="Q8" s="18" t="n">
        <v>8.590083140000001</v>
      </c>
      <c r="R8" s="20" t="n">
        <v>1.69511894</v>
      </c>
    </row>
    <row r="9" spans="1:18">
      <c r="A9" s="15" t="s">
        <v>351</v>
      </c>
      <c r="B9" s="17" t="n">
        <v>4752</v>
      </c>
      <c r="C9" s="18">
        <f>(4183.0/B9*100)</f>
        <v/>
      </c>
      <c r="D9" s="19" t="n">
        <v>569</v>
      </c>
      <c r="E9" s="18" t="n">
        <v>59.79190042</v>
      </c>
      <c r="F9" s="20" t="n">
        <v>2.26536026</v>
      </c>
      <c r="G9" s="18" t="n">
        <v>29.17270953</v>
      </c>
      <c r="H9" s="20" t="n">
        <v>2.01518547</v>
      </c>
      <c r="I9" s="18" t="s">
        <v>349</v>
      </c>
      <c r="J9" s="20" t="s">
        <v>349</v>
      </c>
      <c r="K9" s="18" t="n">
        <v>0.46426604</v>
      </c>
      <c r="L9" s="20" t="n">
        <v>0.2881856</v>
      </c>
      <c r="M9" s="18" t="n">
        <v>0</v>
      </c>
      <c r="N9" s="20" t="n">
        <v>0</v>
      </c>
      <c r="O9" s="18" t="n">
        <v>0</v>
      </c>
      <c r="P9" s="20" t="n">
        <v>0</v>
      </c>
      <c r="Q9" s="18" t="n">
        <v>10.57112401</v>
      </c>
      <c r="R9" s="20" t="n">
        <v>1.33219967</v>
      </c>
    </row>
    <row r="10" spans="1:18">
      <c r="A10" s="15" t="s">
        <v>352</v>
      </c>
      <c r="B10" s="17" t="n">
        <v>10022</v>
      </c>
      <c r="C10" s="18">
        <f>(8835.0/B10*100)</f>
        <v/>
      </c>
      <c r="D10" s="19" t="n">
        <v>1187</v>
      </c>
      <c r="E10" s="18" t="n">
        <v>61.94339232</v>
      </c>
      <c r="F10" s="20" t="n">
        <v>1.75811495</v>
      </c>
      <c r="G10" s="18" t="n">
        <v>32.26821459</v>
      </c>
      <c r="H10" s="20" t="n">
        <v>1.76535496</v>
      </c>
      <c r="I10" s="18" t="s">
        <v>349</v>
      </c>
      <c r="J10" s="20" t="s">
        <v>349</v>
      </c>
      <c r="K10" s="18" t="n">
        <v>0.89536432</v>
      </c>
      <c r="L10" s="20" t="n">
        <v>0.39573845</v>
      </c>
      <c r="M10" s="18" t="n">
        <v>0</v>
      </c>
      <c r="N10" s="20" t="n">
        <v>0</v>
      </c>
      <c r="O10" s="18" t="n">
        <v>0</v>
      </c>
      <c r="P10" s="20" t="n">
        <v>0</v>
      </c>
      <c r="Q10" s="18" t="n">
        <v>4.89302877</v>
      </c>
      <c r="R10" s="20" t="n">
        <v>0.7601337500000001</v>
      </c>
    </row>
    <row r="11" spans="1:18">
      <c r="A11" s="15" t="s">
        <v>353</v>
      </c>
      <c r="B11" s="17" t="n">
        <v>3500</v>
      </c>
      <c r="C11" s="18">
        <f>(3088.0/B11*100)</f>
        <v/>
      </c>
      <c r="D11" s="19" t="n">
        <v>412</v>
      </c>
      <c r="E11" s="18" t="n">
        <v>68.87871989999999</v>
      </c>
      <c r="F11" s="20" t="n">
        <v>2.72996368</v>
      </c>
      <c r="G11" s="18" t="n">
        <v>13.17834152</v>
      </c>
      <c r="H11" s="20" t="n">
        <v>1.90680441</v>
      </c>
      <c r="I11" s="18" t="s">
        <v>349</v>
      </c>
      <c r="J11" s="20" t="s">
        <v>349</v>
      </c>
      <c r="K11" s="18" t="n">
        <v>3.50855749</v>
      </c>
      <c r="L11" s="20" t="n">
        <v>0.73623441</v>
      </c>
      <c r="M11" s="18" t="n">
        <v>0</v>
      </c>
      <c r="N11" s="20" t="n">
        <v>0</v>
      </c>
      <c r="O11" s="18" t="n">
        <v>0</v>
      </c>
      <c r="P11" s="20" t="n">
        <v>0</v>
      </c>
      <c r="Q11" s="18" t="n">
        <v>14.43438109</v>
      </c>
      <c r="R11" s="20" t="n">
        <v>2.08196231</v>
      </c>
    </row>
    <row r="12" spans="1:18">
      <c r="A12" s="15" t="s">
        <v>354</v>
      </c>
      <c r="B12" s="17" t="n">
        <v>3422</v>
      </c>
      <c r="C12" s="18">
        <f>(3008.0/B12*100)</f>
        <v/>
      </c>
      <c r="D12" s="19" t="n">
        <v>414</v>
      </c>
      <c r="E12" s="18" t="n">
        <v>53.57020436</v>
      </c>
      <c r="F12" s="20" t="n">
        <v>2.8495354</v>
      </c>
      <c r="G12" s="18" t="n">
        <v>36.49133711</v>
      </c>
      <c r="H12" s="20" t="n">
        <v>2.85142649</v>
      </c>
      <c r="I12" s="18" t="s">
        <v>349</v>
      </c>
      <c r="J12" s="20" t="s">
        <v>349</v>
      </c>
      <c r="K12" s="18" t="n">
        <v>0.8436109000000001</v>
      </c>
      <c r="L12" s="20" t="n">
        <v>0.40758604</v>
      </c>
      <c r="M12" s="18" t="n">
        <v>0</v>
      </c>
      <c r="N12" s="20" t="n">
        <v>0</v>
      </c>
      <c r="O12" s="18" t="n">
        <v>0</v>
      </c>
      <c r="P12" s="20" t="n">
        <v>0</v>
      </c>
      <c r="Q12" s="18" t="n">
        <v>9.09484763</v>
      </c>
      <c r="R12" s="20" t="n">
        <v>1.78329333</v>
      </c>
    </row>
    <row r="13" spans="1:18">
      <c r="A13" s="15" t="s">
        <v>355</v>
      </c>
      <c r="B13" s="17" t="n">
        <v>3602</v>
      </c>
      <c r="C13" s="18">
        <f>(3205.0/B13*100)</f>
        <v/>
      </c>
      <c r="D13" s="19" t="n">
        <v>397</v>
      </c>
      <c r="E13" s="18" t="n">
        <v>61.7419642</v>
      </c>
      <c r="F13" s="20" t="n">
        <v>2.76133493</v>
      </c>
      <c r="G13" s="18" t="n">
        <v>22.85401945</v>
      </c>
      <c r="H13" s="20" t="n">
        <v>2.30667699</v>
      </c>
      <c r="I13" s="18" t="s">
        <v>349</v>
      </c>
      <c r="J13" s="20" t="s">
        <v>349</v>
      </c>
      <c r="K13" s="18" t="n">
        <v>1.73242479</v>
      </c>
      <c r="L13" s="20" t="n">
        <v>0.70583176</v>
      </c>
      <c r="M13" s="18" t="n">
        <v>0</v>
      </c>
      <c r="N13" s="20" t="n">
        <v>0</v>
      </c>
      <c r="O13" s="18" t="n">
        <v>0</v>
      </c>
      <c r="P13" s="20" t="n">
        <v>0</v>
      </c>
      <c r="Q13" s="18" t="n">
        <v>13.67159157</v>
      </c>
      <c r="R13" s="20" t="n">
        <v>1.95070944</v>
      </c>
    </row>
    <row r="14" spans="1:18">
      <c r="A14" s="15" t="s">
        <v>356</v>
      </c>
      <c r="B14" s="17" t="n">
        <v>2788</v>
      </c>
      <c r="C14" s="18">
        <f>(2436.0/B14*100)</f>
        <v/>
      </c>
      <c r="D14" s="19" t="n">
        <v>352</v>
      </c>
      <c r="E14" s="18" t="n">
        <v>59.23321999</v>
      </c>
      <c r="F14" s="20" t="n">
        <v>2.93348552</v>
      </c>
      <c r="G14" s="18" t="n">
        <v>30.71427712</v>
      </c>
      <c r="H14" s="20" t="n">
        <v>2.6077149</v>
      </c>
      <c r="I14" s="18" t="s">
        <v>349</v>
      </c>
      <c r="J14" s="20" t="s">
        <v>349</v>
      </c>
      <c r="K14" s="18" t="n">
        <v>0.71425596</v>
      </c>
      <c r="L14" s="20" t="n">
        <v>0.69238856</v>
      </c>
      <c r="M14" s="18" t="n">
        <v>0</v>
      </c>
      <c r="N14" s="20" t="n">
        <v>0</v>
      </c>
      <c r="O14" s="18" t="n">
        <v>0</v>
      </c>
      <c r="P14" s="20" t="n">
        <v>0</v>
      </c>
      <c r="Q14" s="18" t="n">
        <v>9.338246939999999</v>
      </c>
      <c r="R14" s="20" t="n">
        <v>1.2840044</v>
      </c>
    </row>
    <row r="15" spans="1:18">
      <c r="A15" s="15" t="s">
        <v>357</v>
      </c>
      <c r="B15" s="17" t="n">
        <v>2863</v>
      </c>
      <c r="C15" s="18">
        <f>(2504.0/B15*100)</f>
        <v/>
      </c>
      <c r="D15" s="19" t="n">
        <v>359</v>
      </c>
      <c r="E15" s="18" t="n">
        <v>59.68871138</v>
      </c>
      <c r="F15" s="20" t="n">
        <v>2.81352741</v>
      </c>
      <c r="G15" s="18" t="n">
        <v>33.28004511</v>
      </c>
      <c r="H15" s="20" t="n">
        <v>2.37023101</v>
      </c>
      <c r="I15" s="18" t="s">
        <v>349</v>
      </c>
      <c r="J15" s="20" t="s">
        <v>349</v>
      </c>
      <c r="K15" s="18" t="n">
        <v>1.20892671</v>
      </c>
      <c r="L15" s="20" t="n">
        <v>0.73807607</v>
      </c>
      <c r="M15" s="18" t="n">
        <v>0</v>
      </c>
      <c r="N15" s="20" t="n">
        <v>0</v>
      </c>
      <c r="O15" s="18" t="n">
        <v>0</v>
      </c>
      <c r="P15" s="20" t="n">
        <v>0</v>
      </c>
      <c r="Q15" s="18" t="n">
        <v>5.82231681</v>
      </c>
      <c r="R15" s="20" t="n">
        <v>1.47124076</v>
      </c>
    </row>
    <row r="16" spans="1:18">
      <c r="A16" s="15" t="s">
        <v>358</v>
      </c>
      <c r="B16" s="17" t="n">
        <v>3111</v>
      </c>
      <c r="C16" s="18">
        <f>(2732.0/B16*100)</f>
        <v/>
      </c>
      <c r="D16" s="19" t="n">
        <v>379</v>
      </c>
      <c r="E16" s="18" t="n">
        <v>54.84442826</v>
      </c>
      <c r="F16" s="20" t="n">
        <v>2.59688985</v>
      </c>
      <c r="G16" s="18" t="n">
        <v>29.97313674</v>
      </c>
      <c r="H16" s="20" t="n">
        <v>2.03730913</v>
      </c>
      <c r="I16" s="18" t="s">
        <v>349</v>
      </c>
      <c r="J16" s="20" t="s">
        <v>349</v>
      </c>
      <c r="K16" s="18" t="n">
        <v>2.80450343</v>
      </c>
      <c r="L16" s="20" t="n">
        <v>1.11839178</v>
      </c>
      <c r="M16" s="18" t="n">
        <v>0</v>
      </c>
      <c r="N16" s="20" t="n">
        <v>0</v>
      </c>
      <c r="O16" s="18" t="n">
        <v>0</v>
      </c>
      <c r="P16" s="20" t="n">
        <v>0</v>
      </c>
      <c r="Q16" s="18" t="n">
        <v>12.37793157</v>
      </c>
      <c r="R16" s="20" t="n">
        <v>1.61706138</v>
      </c>
    </row>
    <row r="17" spans="1:18">
      <c r="A17" s="15" t="s">
        <v>359</v>
      </c>
      <c r="B17" s="17" t="n">
        <v>3197</v>
      </c>
      <c r="C17" s="18">
        <f>(2815.0/B17*100)</f>
        <v/>
      </c>
      <c r="D17" s="19" t="n">
        <v>382</v>
      </c>
      <c r="E17" s="18" t="n">
        <v>58.87309986</v>
      </c>
      <c r="F17" s="20" t="n">
        <v>2.96567942</v>
      </c>
      <c r="G17" s="18" t="n">
        <v>29.03962027</v>
      </c>
      <c r="H17" s="20" t="n">
        <v>2.59700012</v>
      </c>
      <c r="I17" s="18" t="s">
        <v>349</v>
      </c>
      <c r="J17" s="20" t="s">
        <v>349</v>
      </c>
      <c r="K17" s="18" t="n">
        <v>0.52234657</v>
      </c>
      <c r="L17" s="20" t="n">
        <v>0.37077606</v>
      </c>
      <c r="M17" s="18" t="n">
        <v>0</v>
      </c>
      <c r="N17" s="20" t="n">
        <v>0</v>
      </c>
      <c r="O17" s="18" t="n">
        <v>0</v>
      </c>
      <c r="P17" s="20" t="n">
        <v>0</v>
      </c>
      <c r="Q17" s="18" t="n">
        <v>11.56493329</v>
      </c>
      <c r="R17" s="20" t="n">
        <v>1.63340576</v>
      </c>
    </row>
    <row r="18" spans="1:18">
      <c r="A18" s="15" t="s">
        <v>360</v>
      </c>
      <c r="B18" s="17" t="n">
        <v>2706</v>
      </c>
      <c r="C18" s="18">
        <f>(2392.0/B18*100)</f>
        <v/>
      </c>
      <c r="D18" s="19" t="n">
        <v>314</v>
      </c>
      <c r="E18" s="18" t="n">
        <v>70.44474961</v>
      </c>
      <c r="F18" s="20" t="n">
        <v>2.93810247</v>
      </c>
      <c r="G18" s="18" t="n">
        <v>19.24893838</v>
      </c>
      <c r="H18" s="20" t="n">
        <v>2.343979</v>
      </c>
      <c r="I18" s="18" t="s">
        <v>349</v>
      </c>
      <c r="J18" s="20" t="s">
        <v>349</v>
      </c>
      <c r="K18" s="18" t="n">
        <v>1.43573928</v>
      </c>
      <c r="L18" s="20" t="n">
        <v>0.610376</v>
      </c>
      <c r="M18" s="18" t="n">
        <v>0</v>
      </c>
      <c r="N18" s="20" t="n">
        <v>0</v>
      </c>
      <c r="O18" s="18" t="n">
        <v>0</v>
      </c>
      <c r="P18" s="20" t="n">
        <v>0</v>
      </c>
      <c r="Q18" s="18" t="n">
        <v>8.870572729999999</v>
      </c>
      <c r="R18" s="20" t="n">
        <v>1.89404116</v>
      </c>
    </row>
    <row r="19" spans="1:18">
      <c r="A19" s="15" t="s">
        <v>361</v>
      </c>
      <c r="B19" s="17" t="n">
        <v>2850</v>
      </c>
      <c r="C19" s="18">
        <f>(2494.0/B19*100)</f>
        <v/>
      </c>
      <c r="D19" s="19" t="n">
        <v>356</v>
      </c>
      <c r="E19" s="18" t="n">
        <v>61.13356148</v>
      </c>
      <c r="F19" s="20" t="n">
        <v>2.52400242</v>
      </c>
      <c r="G19" s="18" t="n">
        <v>25.27514429</v>
      </c>
      <c r="H19" s="20" t="n">
        <v>1.9258505</v>
      </c>
      <c r="I19" s="18" t="s">
        <v>349</v>
      </c>
      <c r="J19" s="20" t="s">
        <v>349</v>
      </c>
      <c r="K19" s="18" t="n">
        <v>3.61846929</v>
      </c>
      <c r="L19" s="20" t="n">
        <v>1.22364696</v>
      </c>
      <c r="M19" s="18" t="n">
        <v>0</v>
      </c>
      <c r="N19" s="20" t="n">
        <v>0</v>
      </c>
      <c r="O19" s="18" t="n">
        <v>0</v>
      </c>
      <c r="P19" s="20" t="n">
        <v>0</v>
      </c>
      <c r="Q19" s="18" t="n">
        <v>9.972824940000001</v>
      </c>
      <c r="R19" s="20" t="n">
        <v>1.85183048</v>
      </c>
    </row>
    <row r="20" spans="1:18">
      <c r="A20" s="15" t="s">
        <v>362</v>
      </c>
      <c r="B20" s="17" t="n">
        <v>1741</v>
      </c>
      <c r="C20" s="18">
        <f>(1525.0/B20*100)</f>
        <v/>
      </c>
      <c r="D20" s="19" t="n">
        <v>216</v>
      </c>
      <c r="E20" s="18" t="n">
        <v>65.40014858000001</v>
      </c>
      <c r="F20" s="20" t="n">
        <v>3.33535074</v>
      </c>
      <c r="G20" s="18" t="n">
        <v>27.36290423</v>
      </c>
      <c r="H20" s="20" t="n">
        <v>3.03236673</v>
      </c>
      <c r="I20" s="18" t="s">
        <v>349</v>
      </c>
      <c r="J20" s="20" t="s">
        <v>349</v>
      </c>
      <c r="K20" s="18" t="n">
        <v>2.34918269</v>
      </c>
      <c r="L20" s="20" t="n">
        <v>1.22177877</v>
      </c>
      <c r="M20" s="18" t="n">
        <v>0</v>
      </c>
      <c r="N20" s="20" t="n">
        <v>0</v>
      </c>
      <c r="O20" s="18" t="n">
        <v>0</v>
      </c>
      <c r="P20" s="20" t="n">
        <v>0</v>
      </c>
      <c r="Q20" s="18" t="n">
        <v>4.8877645</v>
      </c>
      <c r="R20" s="20" t="n">
        <v>1.45384472</v>
      </c>
    </row>
    <row r="21" spans="1:18">
      <c r="A21" s="15" t="s">
        <v>363</v>
      </c>
      <c r="B21" s="17" t="n">
        <v>2833</v>
      </c>
      <c r="C21" s="18">
        <f>(2377.0/B21*100)</f>
        <v/>
      </c>
      <c r="D21" s="19" t="n">
        <v>456</v>
      </c>
      <c r="E21" s="18" t="n">
        <v>72.34821782</v>
      </c>
      <c r="F21" s="20" t="n">
        <v>2.18942523</v>
      </c>
      <c r="G21" s="18" t="n">
        <v>21.93322146</v>
      </c>
      <c r="H21" s="20" t="n">
        <v>2.21931991</v>
      </c>
      <c r="I21" s="18" t="s">
        <v>349</v>
      </c>
      <c r="J21" s="20" t="s">
        <v>349</v>
      </c>
      <c r="K21" s="18" t="n">
        <v>0.86440837</v>
      </c>
      <c r="L21" s="20" t="n">
        <v>0.39198607</v>
      </c>
      <c r="M21" s="18" t="n">
        <v>0</v>
      </c>
      <c r="N21" s="20" t="n">
        <v>0</v>
      </c>
      <c r="O21" s="18" t="n">
        <v>0</v>
      </c>
      <c r="P21" s="20" t="n">
        <v>0</v>
      </c>
      <c r="Q21" s="18" t="n">
        <v>4.85415235</v>
      </c>
      <c r="R21" s="20" t="n">
        <v>1.07474004</v>
      </c>
    </row>
    <row r="22" spans="1:18">
      <c r="A22" s="15" t="s">
        <v>364</v>
      </c>
      <c r="B22" s="17" t="n">
        <v>3667</v>
      </c>
      <c r="C22" s="18">
        <f>(3212.0/B22*100)</f>
        <v/>
      </c>
      <c r="D22" s="19" t="n">
        <v>455</v>
      </c>
      <c r="E22" s="18" t="n">
        <v>64.39490101</v>
      </c>
      <c r="F22" s="20" t="n">
        <v>2.56381141</v>
      </c>
      <c r="G22" s="18" t="n">
        <v>21.6670413</v>
      </c>
      <c r="H22" s="20" t="n">
        <v>2.27716219</v>
      </c>
      <c r="I22" s="18" t="s">
        <v>349</v>
      </c>
      <c r="J22" s="20" t="s">
        <v>349</v>
      </c>
      <c r="K22" s="18" t="n">
        <v>2.52167676</v>
      </c>
      <c r="L22" s="20" t="n">
        <v>0.65577863</v>
      </c>
      <c r="M22" s="18" t="n">
        <v>0</v>
      </c>
      <c r="N22" s="20" t="n">
        <v>0</v>
      </c>
      <c r="O22" s="18" t="n">
        <v>0</v>
      </c>
      <c r="P22" s="20" t="n">
        <v>0</v>
      </c>
      <c r="Q22" s="18" t="n">
        <v>11.41638093</v>
      </c>
      <c r="R22" s="20" t="n">
        <v>1.76881797</v>
      </c>
    </row>
    <row r="23" spans="1:18">
      <c r="A23" s="15" t="s">
        <v>365</v>
      </c>
      <c r="B23" s="17" t="n">
        <v>5792</v>
      </c>
      <c r="C23" s="18">
        <f>(5062.0/B23*100)</f>
        <v/>
      </c>
      <c r="D23" s="19" t="n">
        <v>730</v>
      </c>
      <c r="E23" s="18" t="n">
        <v>57.56768877</v>
      </c>
      <c r="F23" s="20" t="n">
        <v>2.39199404</v>
      </c>
      <c r="G23" s="18" t="n">
        <v>30.97390958</v>
      </c>
      <c r="H23" s="20" t="n">
        <v>2.56076543</v>
      </c>
      <c r="I23" s="18" t="s">
        <v>349</v>
      </c>
      <c r="J23" s="20" t="s">
        <v>349</v>
      </c>
      <c r="K23" s="18" t="n">
        <v>2.98807815</v>
      </c>
      <c r="L23" s="20" t="n">
        <v>1.13041092</v>
      </c>
      <c r="M23" s="18" t="n">
        <v>0</v>
      </c>
      <c r="N23" s="20" t="n">
        <v>0</v>
      </c>
      <c r="O23" s="18" t="n">
        <v>0</v>
      </c>
      <c r="P23" s="20" t="n">
        <v>0</v>
      </c>
      <c r="Q23" s="18" t="n">
        <v>8.47032349</v>
      </c>
      <c r="R23" s="20" t="n">
        <v>1.48569177</v>
      </c>
    </row>
    <row r="24" spans="1:18">
      <c r="A24" s="15" t="s">
        <v>366</v>
      </c>
      <c r="B24" s="17" t="n">
        <v>3309</v>
      </c>
      <c r="C24" s="18">
        <f>(2885.0/B24*100)</f>
        <v/>
      </c>
      <c r="D24" s="19" t="n">
        <v>424</v>
      </c>
      <c r="E24" s="18" t="n">
        <v>46.68465003</v>
      </c>
      <c r="F24" s="20" t="n">
        <v>2.5980546</v>
      </c>
      <c r="G24" s="18" t="n">
        <v>48.35610797</v>
      </c>
      <c r="H24" s="20" t="n">
        <v>2.49016885</v>
      </c>
      <c r="I24" s="18" t="s">
        <v>349</v>
      </c>
      <c r="J24" s="20" t="s">
        <v>349</v>
      </c>
      <c r="K24" s="18" t="n">
        <v>0.67258926</v>
      </c>
      <c r="L24" s="20" t="n">
        <v>0.38692141</v>
      </c>
      <c r="M24" s="18" t="n">
        <v>0</v>
      </c>
      <c r="N24" s="20" t="n">
        <v>0</v>
      </c>
      <c r="O24" s="18" t="n">
        <v>0</v>
      </c>
      <c r="P24" s="20" t="n">
        <v>0</v>
      </c>
      <c r="Q24" s="18" t="n">
        <v>4.28665273</v>
      </c>
      <c r="R24" s="20" t="n">
        <v>0.96927126</v>
      </c>
    </row>
    <row r="25" spans="1:18">
      <c r="A25" s="15" t="s">
        <v>367</v>
      </c>
      <c r="B25" s="17" t="n">
        <v>2669</v>
      </c>
      <c r="C25" s="18">
        <f>(2340.0/B25*100)</f>
        <v/>
      </c>
      <c r="D25" s="19" t="n">
        <v>329</v>
      </c>
      <c r="E25" s="18" t="n">
        <v>46.52868283</v>
      </c>
      <c r="F25" s="20" t="n">
        <v>2.77023885</v>
      </c>
      <c r="G25" s="18" t="n">
        <v>49.33617547</v>
      </c>
      <c r="H25" s="20" t="n">
        <v>2.94473627</v>
      </c>
      <c r="I25" s="18" t="s">
        <v>349</v>
      </c>
      <c r="J25" s="20" t="s">
        <v>349</v>
      </c>
      <c r="K25" s="18" t="n">
        <v>0</v>
      </c>
      <c r="L25" s="20" t="n">
        <v>0</v>
      </c>
      <c r="M25" s="18" t="n">
        <v>0</v>
      </c>
      <c r="N25" s="20" t="n">
        <v>0</v>
      </c>
      <c r="O25" s="18" t="n">
        <v>0</v>
      </c>
      <c r="P25" s="20" t="n">
        <v>0</v>
      </c>
      <c r="Q25" s="18" t="n">
        <v>4.13514169</v>
      </c>
      <c r="R25" s="20" t="n">
        <v>1.03488998</v>
      </c>
    </row>
    <row r="26" spans="1:18">
      <c r="A26" s="15" t="s">
        <v>368</v>
      </c>
      <c r="B26" s="17" t="n">
        <v>2419</v>
      </c>
      <c r="C26" s="18">
        <f>(2124.0/B26*100)</f>
        <v/>
      </c>
      <c r="D26" s="19" t="n">
        <v>295</v>
      </c>
      <c r="E26" s="18" t="n">
        <v>75.64396112</v>
      </c>
      <c r="F26" s="20" t="n">
        <v>2.81540799</v>
      </c>
      <c r="G26" s="18" t="n">
        <v>17.46017051</v>
      </c>
      <c r="H26" s="20" t="n">
        <v>2.31888453</v>
      </c>
      <c r="I26" s="18" t="s">
        <v>349</v>
      </c>
      <c r="J26" s="20" t="s">
        <v>349</v>
      </c>
      <c r="K26" s="18" t="n">
        <v>0</v>
      </c>
      <c r="L26" s="20" t="n">
        <v>0</v>
      </c>
      <c r="M26" s="18" t="n">
        <v>0</v>
      </c>
      <c r="N26" s="20" t="n">
        <v>0</v>
      </c>
      <c r="O26" s="18" t="n">
        <v>0</v>
      </c>
      <c r="P26" s="20" t="n">
        <v>0</v>
      </c>
      <c r="Q26" s="18" t="n">
        <v>6.89586837</v>
      </c>
      <c r="R26" s="20" t="n">
        <v>1.71277398</v>
      </c>
    </row>
    <row r="27" spans="1:18">
      <c r="A27" s="15" t="s">
        <v>369</v>
      </c>
      <c r="B27" s="17" t="n">
        <v>2683</v>
      </c>
      <c r="C27" s="18">
        <f>(2373.0/B27*100)</f>
        <v/>
      </c>
      <c r="D27" s="19" t="n">
        <v>310</v>
      </c>
      <c r="E27" s="18" t="n">
        <v>66.10906002999999</v>
      </c>
      <c r="F27" s="20" t="n">
        <v>2.54271343</v>
      </c>
      <c r="G27" s="18" t="n">
        <v>25.80896911</v>
      </c>
      <c r="H27" s="20" t="n">
        <v>2.26347456</v>
      </c>
      <c r="I27" s="18" t="s">
        <v>349</v>
      </c>
      <c r="J27" s="20" t="s">
        <v>349</v>
      </c>
      <c r="K27" s="18" t="n">
        <v>0.6639966</v>
      </c>
      <c r="L27" s="20" t="n">
        <v>0.48140086</v>
      </c>
      <c r="M27" s="18" t="n">
        <v>0</v>
      </c>
      <c r="N27" s="20" t="n">
        <v>0</v>
      </c>
      <c r="O27" s="18" t="n">
        <v>0</v>
      </c>
      <c r="P27" s="20" t="n">
        <v>0</v>
      </c>
      <c r="Q27" s="18" t="n">
        <v>7.41797425</v>
      </c>
      <c r="R27" s="20" t="n">
        <v>1.54530712</v>
      </c>
    </row>
    <row r="28" spans="1:18">
      <c r="A28" s="15" t="s">
        <v>370</v>
      </c>
      <c r="B28" s="17" t="n">
        <v>3803</v>
      </c>
      <c r="C28" s="18">
        <f>(3384.0/B28*100)</f>
        <v/>
      </c>
      <c r="D28" s="19" t="n">
        <v>419</v>
      </c>
      <c r="E28" s="18" t="n">
        <v>83.69382768</v>
      </c>
      <c r="F28" s="20" t="n">
        <v>2.32177307</v>
      </c>
      <c r="G28" s="18" t="n">
        <v>7.87425792</v>
      </c>
      <c r="H28" s="20" t="n">
        <v>1.45056605</v>
      </c>
      <c r="I28" s="18" t="s">
        <v>349</v>
      </c>
      <c r="J28" s="20" t="s">
        <v>349</v>
      </c>
      <c r="K28" s="18" t="n">
        <v>1.11488919</v>
      </c>
      <c r="L28" s="20" t="n">
        <v>0.50264379</v>
      </c>
      <c r="M28" s="18" t="n">
        <v>0</v>
      </c>
      <c r="N28" s="20" t="n">
        <v>0</v>
      </c>
      <c r="O28" s="18" t="n">
        <v>0</v>
      </c>
      <c r="P28" s="20" t="n">
        <v>0</v>
      </c>
      <c r="Q28" s="18" t="n">
        <v>7.3170252</v>
      </c>
      <c r="R28" s="20" t="n">
        <v>1.56176098</v>
      </c>
    </row>
    <row r="29" spans="1:18">
      <c r="A29" s="15" t="s">
        <v>371</v>
      </c>
      <c r="B29" s="17" t="n">
        <v>2700</v>
      </c>
      <c r="C29" s="18">
        <f>(2389.0/B29*100)</f>
        <v/>
      </c>
      <c r="D29" s="19" t="n">
        <v>311</v>
      </c>
      <c r="E29" s="18" t="n">
        <v>59.75346963</v>
      </c>
      <c r="F29" s="20" t="n">
        <v>2.70307297</v>
      </c>
      <c r="G29" s="18" t="n">
        <v>33.05160221</v>
      </c>
      <c r="H29" s="20" t="n">
        <v>2.50164004</v>
      </c>
      <c r="I29" s="18" t="s">
        <v>349</v>
      </c>
      <c r="J29" s="20" t="s">
        <v>349</v>
      </c>
      <c r="K29" s="18" t="n">
        <v>0</v>
      </c>
      <c r="L29" s="20" t="n">
        <v>0</v>
      </c>
      <c r="M29" s="18" t="n">
        <v>0</v>
      </c>
      <c r="N29" s="20" t="n">
        <v>0</v>
      </c>
      <c r="O29" s="18" t="n">
        <v>0</v>
      </c>
      <c r="P29" s="20" t="n">
        <v>0</v>
      </c>
      <c r="Q29" s="18" t="n">
        <v>7.19492816</v>
      </c>
      <c r="R29" s="20" t="n">
        <v>1.76735361</v>
      </c>
    </row>
    <row r="30" spans="1:18">
      <c r="A30" s="15" t="s">
        <v>372</v>
      </c>
      <c r="B30" s="17" t="n">
        <v>2257</v>
      </c>
      <c r="C30" s="18">
        <f>(1974.0/B30*100)</f>
        <v/>
      </c>
      <c r="D30" s="19" t="n">
        <v>283</v>
      </c>
      <c r="E30" s="18" t="n">
        <v>62.26676671</v>
      </c>
      <c r="F30" s="20" t="n">
        <v>3.11244138</v>
      </c>
      <c r="G30" s="18" t="n">
        <v>25.86103955</v>
      </c>
      <c r="H30" s="20" t="n">
        <v>2.68190348</v>
      </c>
      <c r="I30" s="18" t="s">
        <v>349</v>
      </c>
      <c r="J30" s="20" t="s">
        <v>349</v>
      </c>
      <c r="K30" s="18" t="n">
        <v>1.63127414</v>
      </c>
      <c r="L30" s="20" t="n">
        <v>0.55076021</v>
      </c>
      <c r="M30" s="18" t="n">
        <v>0</v>
      </c>
      <c r="N30" s="20" t="n">
        <v>0</v>
      </c>
      <c r="O30" s="18" t="n">
        <v>0</v>
      </c>
      <c r="P30" s="20" t="n">
        <v>0</v>
      </c>
      <c r="Q30" s="18" t="n">
        <v>10.2409196</v>
      </c>
      <c r="R30" s="20" t="n">
        <v>1.56700923</v>
      </c>
    </row>
    <row r="31" spans="1:18">
      <c r="A31" s="15" t="s">
        <v>373</v>
      </c>
      <c r="B31" s="17" t="n">
        <v>2706</v>
      </c>
      <c r="C31" s="18">
        <f>(2377.0/B31*100)</f>
        <v/>
      </c>
      <c r="D31" s="19" t="n">
        <v>329</v>
      </c>
      <c r="E31" s="18" t="n">
        <v>62.60364342</v>
      </c>
      <c r="F31" s="20" t="n">
        <v>2.26932838</v>
      </c>
      <c r="G31" s="18" t="n">
        <v>28.0443369</v>
      </c>
      <c r="H31" s="20" t="n">
        <v>2.10373416</v>
      </c>
      <c r="I31" s="18" t="s">
        <v>349</v>
      </c>
      <c r="J31" s="20" t="s">
        <v>349</v>
      </c>
      <c r="K31" s="18" t="n">
        <v>2.61787177</v>
      </c>
      <c r="L31" s="20" t="n">
        <v>1.01336762</v>
      </c>
      <c r="M31" s="18" t="n">
        <v>0</v>
      </c>
      <c r="N31" s="20" t="n">
        <v>0</v>
      </c>
      <c r="O31" s="18" t="n">
        <v>0</v>
      </c>
      <c r="P31" s="20" t="n">
        <v>0</v>
      </c>
      <c r="Q31" s="18" t="n">
        <v>6.73414791</v>
      </c>
      <c r="R31" s="20" t="n">
        <v>1.40304344</v>
      </c>
    </row>
    <row r="32" spans="1:18">
      <c r="A32" s="15" t="s">
        <v>374</v>
      </c>
      <c r="B32" s="17" t="n">
        <v>2209</v>
      </c>
      <c r="C32" s="18">
        <f>(1859.0/B32*100)</f>
        <v/>
      </c>
      <c r="D32" s="19" t="n">
        <v>350</v>
      </c>
      <c r="E32" s="18" t="n">
        <v>66.70660753</v>
      </c>
      <c r="F32" s="20" t="n">
        <v>2.9476198</v>
      </c>
      <c r="G32" s="18" t="n">
        <v>27.75659274</v>
      </c>
      <c r="H32" s="20" t="n">
        <v>2.90579977</v>
      </c>
      <c r="I32" s="18" t="s">
        <v>349</v>
      </c>
      <c r="J32" s="20" t="s">
        <v>349</v>
      </c>
      <c r="K32" s="18" t="n">
        <v>0</v>
      </c>
      <c r="L32" s="20" t="n">
        <v>0</v>
      </c>
      <c r="M32" s="18" t="n">
        <v>0</v>
      </c>
      <c r="N32" s="20" t="n">
        <v>0</v>
      </c>
      <c r="O32" s="18" t="n">
        <v>0</v>
      </c>
      <c r="P32" s="20" t="n">
        <v>0</v>
      </c>
      <c r="Q32" s="18" t="n">
        <v>5.53679973</v>
      </c>
      <c r="R32" s="20" t="n">
        <v>1.21634923</v>
      </c>
    </row>
    <row r="33" spans="1:18">
      <c r="A33" s="15" t="s">
        <v>375</v>
      </c>
      <c r="B33" s="17" t="n">
        <v>3651</v>
      </c>
      <c r="C33" s="18">
        <f>(3221.0/B33*100)</f>
        <v/>
      </c>
      <c r="D33" s="19" t="n">
        <v>430</v>
      </c>
      <c r="E33" s="18" t="n">
        <v>64.34890338</v>
      </c>
      <c r="F33" s="20" t="n">
        <v>2.85931374</v>
      </c>
      <c r="G33" s="18" t="n">
        <v>25.87093854</v>
      </c>
      <c r="H33" s="20" t="n">
        <v>2.35108981</v>
      </c>
      <c r="I33" s="18" t="s">
        <v>349</v>
      </c>
      <c r="J33" s="20" t="s">
        <v>349</v>
      </c>
      <c r="K33" s="18" t="n">
        <v>2.21351775</v>
      </c>
      <c r="L33" s="20" t="n">
        <v>0.76552792</v>
      </c>
      <c r="M33" s="18" t="n">
        <v>0</v>
      </c>
      <c r="N33" s="20" t="n">
        <v>0</v>
      </c>
      <c r="O33" s="18" t="n">
        <v>0</v>
      </c>
      <c r="P33" s="20" t="n">
        <v>0</v>
      </c>
      <c r="Q33" s="18" t="n">
        <v>7.56664033</v>
      </c>
      <c r="R33" s="20" t="n">
        <v>1.59243161</v>
      </c>
    </row>
    <row r="34" spans="1:18">
      <c r="A34" s="15" t="s">
        <v>376</v>
      </c>
      <c r="B34" s="17" t="n">
        <v>3035</v>
      </c>
      <c r="C34" s="18">
        <f>(2682.0/B34*100)</f>
        <v/>
      </c>
      <c r="D34" s="19" t="n">
        <v>353</v>
      </c>
      <c r="E34" s="18" t="n">
        <v>69.34757505</v>
      </c>
      <c r="F34" s="20" t="n">
        <v>2.39301916</v>
      </c>
      <c r="G34" s="18" t="n">
        <v>24.87301591</v>
      </c>
      <c r="H34" s="20" t="n">
        <v>2.40327663</v>
      </c>
      <c r="I34" s="18" t="s">
        <v>349</v>
      </c>
      <c r="J34" s="20" t="s">
        <v>349</v>
      </c>
      <c r="K34" s="18" t="n">
        <v>0.24587885</v>
      </c>
      <c r="L34" s="20" t="n">
        <v>0.24640221</v>
      </c>
      <c r="M34" s="18" t="n">
        <v>0</v>
      </c>
      <c r="N34" s="20" t="n">
        <v>0</v>
      </c>
      <c r="O34" s="18" t="n">
        <v>0</v>
      </c>
      <c r="P34" s="20" t="n">
        <v>0</v>
      </c>
      <c r="Q34" s="18" t="n">
        <v>5.53353019</v>
      </c>
      <c r="R34" s="20" t="n">
        <v>1.05929018</v>
      </c>
    </row>
    <row r="35" spans="1:18">
      <c r="A35" s="15" t="s">
        <v>377</v>
      </c>
      <c r="B35" s="17" t="n">
        <v>2901</v>
      </c>
      <c r="C35" s="18">
        <f>(2548.0/B35*100)</f>
        <v/>
      </c>
      <c r="D35" s="19" t="n">
        <v>353</v>
      </c>
      <c r="E35" s="18" t="n">
        <v>61.90885343</v>
      </c>
      <c r="F35" s="20" t="n">
        <v>3.34004249</v>
      </c>
      <c r="G35" s="18" t="n">
        <v>30.59557229</v>
      </c>
      <c r="H35" s="20" t="n">
        <v>3.19238854</v>
      </c>
      <c r="I35" s="18" t="s">
        <v>349</v>
      </c>
      <c r="J35" s="20" t="s">
        <v>349</v>
      </c>
      <c r="K35" s="18" t="n">
        <v>0.8960154</v>
      </c>
      <c r="L35" s="20" t="n">
        <v>0.68787457</v>
      </c>
      <c r="M35" s="18" t="n">
        <v>0</v>
      </c>
      <c r="N35" s="20" t="n">
        <v>0</v>
      </c>
      <c r="O35" s="18" t="n">
        <v>0</v>
      </c>
      <c r="P35" s="20" t="n">
        <v>0</v>
      </c>
      <c r="Q35" s="18" t="n">
        <v>6.59955888</v>
      </c>
      <c r="R35" s="20" t="n">
        <v>1.64476167</v>
      </c>
    </row>
    <row r="36" spans="1:18">
      <c r="A36" s="15" t="s">
        <v>378</v>
      </c>
      <c r="B36" s="17" t="n">
        <v>3404</v>
      </c>
      <c r="C36" s="18">
        <f>(3012.0/B36*100)</f>
        <v/>
      </c>
      <c r="D36" s="19" t="n">
        <v>392</v>
      </c>
      <c r="E36" s="18" t="n">
        <v>58.9582721</v>
      </c>
      <c r="F36" s="20" t="n">
        <v>2.46611349</v>
      </c>
      <c r="G36" s="18" t="n">
        <v>29.80985024</v>
      </c>
      <c r="H36" s="20" t="n">
        <v>2.2620858</v>
      </c>
      <c r="I36" s="18" t="s">
        <v>349</v>
      </c>
      <c r="J36" s="20" t="s">
        <v>349</v>
      </c>
      <c r="K36" s="18" t="n">
        <v>2.15207313</v>
      </c>
      <c r="L36" s="20" t="n">
        <v>0.8592614</v>
      </c>
      <c r="M36" s="18" t="n">
        <v>0</v>
      </c>
      <c r="N36" s="20" t="n">
        <v>0</v>
      </c>
      <c r="O36" s="18" t="n">
        <v>0</v>
      </c>
      <c r="P36" s="20" t="n">
        <v>0</v>
      </c>
      <c r="Q36" s="18" t="n">
        <v>9.079804530000001</v>
      </c>
      <c r="R36" s="20" t="n">
        <v>1.42413115</v>
      </c>
    </row>
    <row r="37" spans="1:18">
      <c r="A37" s="15" t="s">
        <v>379</v>
      </c>
      <c r="B37" s="17" t="n">
        <v>2731</v>
      </c>
      <c r="C37" s="18">
        <f>(2429.0/B37*100)</f>
        <v/>
      </c>
      <c r="D37" s="19" t="n">
        <v>302</v>
      </c>
      <c r="E37" s="18" t="n">
        <v>55.7806288</v>
      </c>
      <c r="F37" s="20" t="n">
        <v>3.02674522</v>
      </c>
      <c r="G37" s="18" t="n">
        <v>22.25157971</v>
      </c>
      <c r="H37" s="20" t="n">
        <v>2.63389471</v>
      </c>
      <c r="I37" s="18" t="s">
        <v>349</v>
      </c>
      <c r="J37" s="20" t="s">
        <v>349</v>
      </c>
      <c r="K37" s="18" t="n">
        <v>4.07451741</v>
      </c>
      <c r="L37" s="20" t="n">
        <v>1.27995704</v>
      </c>
      <c r="M37" s="18" t="n">
        <v>0</v>
      </c>
      <c r="N37" s="20" t="n">
        <v>0</v>
      </c>
      <c r="O37" s="18" t="n">
        <v>0</v>
      </c>
      <c r="P37" s="20" t="n">
        <v>0</v>
      </c>
      <c r="Q37" s="18" t="n">
        <v>17.89327408</v>
      </c>
      <c r="R37" s="20" t="n">
        <v>2.44257288</v>
      </c>
    </row>
    <row r="38" spans="1:18">
      <c r="A38" s="15" t="s">
        <v>380</v>
      </c>
      <c r="B38" s="17" t="n">
        <v>2807</v>
      </c>
      <c r="C38" s="18">
        <f>(2346.0/B38*100)</f>
        <v/>
      </c>
      <c r="D38" s="19" t="n">
        <v>461</v>
      </c>
      <c r="E38" s="18" t="n">
        <v>56.88760555</v>
      </c>
      <c r="F38" s="20" t="n">
        <v>3.248139</v>
      </c>
      <c r="G38" s="18" t="n">
        <v>31.72999945</v>
      </c>
      <c r="H38" s="20" t="n">
        <v>2.65942185</v>
      </c>
      <c r="I38" s="18" t="s">
        <v>349</v>
      </c>
      <c r="J38" s="20" t="s">
        <v>349</v>
      </c>
      <c r="K38" s="18" t="n">
        <v>2.93832263</v>
      </c>
      <c r="L38" s="20" t="n">
        <v>0.93610825</v>
      </c>
      <c r="M38" s="18" t="n">
        <v>0</v>
      </c>
      <c r="N38" s="20" t="n">
        <v>0</v>
      </c>
      <c r="O38" s="18" t="n">
        <v>0</v>
      </c>
      <c r="P38" s="20" t="n">
        <v>0</v>
      </c>
      <c r="Q38" s="18" t="n">
        <v>8.44407238</v>
      </c>
      <c r="R38" s="20" t="n">
        <v>1.53082652</v>
      </c>
    </row>
    <row r="39" spans="1:18">
      <c r="A39" s="15" t="s">
        <v>381</v>
      </c>
      <c r="B39" s="17" t="n">
        <v>2938</v>
      </c>
      <c r="C39" s="18">
        <f>(2578.0/B39*100)</f>
        <v/>
      </c>
      <c r="D39" s="19" t="n">
        <v>360</v>
      </c>
      <c r="E39" s="18" t="n">
        <v>72.41198540000001</v>
      </c>
      <c r="F39" s="20" t="n">
        <v>2.36952784</v>
      </c>
      <c r="G39" s="18" t="n">
        <v>12.96320276</v>
      </c>
      <c r="H39" s="20" t="n">
        <v>2.0561988</v>
      </c>
      <c r="I39" s="18" t="s">
        <v>349</v>
      </c>
      <c r="J39" s="20" t="s">
        <v>349</v>
      </c>
      <c r="K39" s="18" t="n">
        <v>1.56603334</v>
      </c>
      <c r="L39" s="20" t="n">
        <v>0.92893749</v>
      </c>
      <c r="M39" s="18" t="n">
        <v>0</v>
      </c>
      <c r="N39" s="20" t="n">
        <v>0</v>
      </c>
      <c r="O39" s="18" t="n">
        <v>0</v>
      </c>
      <c r="P39" s="20" t="n">
        <v>0</v>
      </c>
      <c r="Q39" s="18" t="n">
        <v>13.0587785</v>
      </c>
      <c r="R39" s="20" t="n">
        <v>1.83756815</v>
      </c>
    </row>
    <row r="40" spans="1:18">
      <c r="A40" s="15" t="s">
        <v>382</v>
      </c>
      <c r="B40" s="17" t="n">
        <v>6922</v>
      </c>
      <c r="C40" s="18">
        <f>(6078.0/B40*100)</f>
        <v/>
      </c>
      <c r="D40" s="19" t="n">
        <v>844</v>
      </c>
      <c r="E40" s="18" t="n">
        <v>64.88708035000001</v>
      </c>
      <c r="F40" s="20" t="n">
        <v>2.6014371</v>
      </c>
      <c r="G40" s="18" t="n">
        <v>25.55804447</v>
      </c>
      <c r="H40" s="20" t="n">
        <v>2.32032082</v>
      </c>
      <c r="I40" s="18" t="s">
        <v>349</v>
      </c>
      <c r="J40" s="20" t="s">
        <v>349</v>
      </c>
      <c r="K40" s="18" t="n">
        <v>0.86723325</v>
      </c>
      <c r="L40" s="20" t="n">
        <v>0.52771507</v>
      </c>
      <c r="M40" s="18" t="n">
        <v>0</v>
      </c>
      <c r="N40" s="20" t="n">
        <v>0</v>
      </c>
      <c r="O40" s="18" t="n">
        <v>0</v>
      </c>
      <c r="P40" s="20" t="n">
        <v>0</v>
      </c>
      <c r="Q40" s="18" t="n">
        <v>8.68764193</v>
      </c>
      <c r="R40" s="20" t="n">
        <v>1.45744795</v>
      </c>
    </row>
    <row r="41" spans="1:18">
      <c r="A41" s="15" t="s">
        <v>383</v>
      </c>
      <c r="B41" s="17" t="n">
        <v>2854</v>
      </c>
      <c r="C41" s="18">
        <f>(2516.0/B41*100)</f>
        <v/>
      </c>
      <c r="D41" s="19" t="n">
        <v>338</v>
      </c>
      <c r="E41" s="18" t="n">
        <v>70.04849341000001</v>
      </c>
      <c r="F41" s="20" t="n">
        <v>2.74808103</v>
      </c>
      <c r="G41" s="18" t="n">
        <v>23.64882582</v>
      </c>
      <c r="H41" s="20" t="n">
        <v>2.62929217</v>
      </c>
      <c r="I41" s="18" t="s">
        <v>349</v>
      </c>
      <c r="J41" s="20" t="s">
        <v>349</v>
      </c>
      <c r="K41" s="18" t="n">
        <v>0.68983035</v>
      </c>
      <c r="L41" s="20" t="n">
        <v>0.42880131</v>
      </c>
      <c r="M41" s="18" t="n">
        <v>0</v>
      </c>
      <c r="N41" s="20" t="n">
        <v>0</v>
      </c>
      <c r="O41" s="18" t="n">
        <v>0</v>
      </c>
      <c r="P41" s="20" t="n">
        <v>0</v>
      </c>
      <c r="Q41" s="18" t="n">
        <v>5.61285042</v>
      </c>
      <c r="R41" s="20" t="n">
        <v>1.30297811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(10893.0/B46*100)</f>
        <v/>
      </c>
      <c r="D46" s="19" t="n">
        <v>1180</v>
      </c>
      <c r="E46" s="18" t="n">
        <v>72.16076667999999</v>
      </c>
      <c r="F46" s="20" t="n">
        <v>1.58574215</v>
      </c>
      <c r="G46" s="18" t="n">
        <v>6.48044625</v>
      </c>
      <c r="H46" s="20" t="n">
        <v>0.9167609799999999</v>
      </c>
      <c r="I46" s="18" t="s">
        <v>349</v>
      </c>
      <c r="J46" s="20" t="s">
        <v>349</v>
      </c>
      <c r="K46" s="18" t="n">
        <v>6.56358655</v>
      </c>
      <c r="L46" s="20" t="n">
        <v>0.94142244</v>
      </c>
      <c r="M46" s="18" t="n">
        <v>0</v>
      </c>
      <c r="N46" s="20" t="n">
        <v>0</v>
      </c>
      <c r="O46" s="18" t="n">
        <v>0</v>
      </c>
      <c r="P46" s="20" t="n">
        <v>0</v>
      </c>
      <c r="Q46" s="18" t="n">
        <v>14.79520052</v>
      </c>
      <c r="R46" s="20" t="n">
        <v>1.31928719</v>
      </c>
    </row>
    <row r="47" spans="1:18">
      <c r="A47" s="15" t="s">
        <v>389</v>
      </c>
      <c r="B47" s="17" t="n">
        <v>2823</v>
      </c>
      <c r="C47" s="18">
        <f>(2490.0/B47*100)</f>
        <v/>
      </c>
      <c r="D47" s="19" t="n">
        <v>333</v>
      </c>
      <c r="E47" s="18" t="n">
        <v>64.09768806</v>
      </c>
      <c r="F47" s="20" t="n">
        <v>2.54044122</v>
      </c>
      <c r="G47" s="18" t="n">
        <v>18.50374874</v>
      </c>
      <c r="H47" s="20" t="n">
        <v>2.05720465</v>
      </c>
      <c r="I47" s="18" t="s">
        <v>349</v>
      </c>
      <c r="J47" s="20" t="s">
        <v>349</v>
      </c>
      <c r="K47" s="18" t="n">
        <v>2.73516074</v>
      </c>
      <c r="L47" s="20" t="n">
        <v>0.91887414</v>
      </c>
      <c r="M47" s="18" t="n">
        <v>0</v>
      </c>
      <c r="N47" s="20" t="n">
        <v>0</v>
      </c>
      <c r="O47" s="18" t="n">
        <v>0</v>
      </c>
      <c r="P47" s="20" t="n">
        <v>0</v>
      </c>
      <c r="Q47" s="18" t="n">
        <v>14.66340247</v>
      </c>
      <c r="R47" s="20" t="n">
        <v>2.04043541</v>
      </c>
    </row>
    <row r="48" spans="1:18">
      <c r="A48" s="15" t="s">
        <v>390</v>
      </c>
      <c r="B48" s="17" t="n">
        <v>4682</v>
      </c>
      <c r="C48" s="18">
        <f>(4102.0/B48*100)</f>
        <v/>
      </c>
      <c r="D48" s="19" t="n">
        <v>580</v>
      </c>
      <c r="E48" s="18" t="n">
        <v>70.34470867</v>
      </c>
      <c r="F48" s="20" t="n">
        <v>2.92792936</v>
      </c>
      <c r="G48" s="18" t="n">
        <v>24.50964475</v>
      </c>
      <c r="H48" s="20" t="n">
        <v>2.87889436</v>
      </c>
      <c r="I48" s="18" t="s">
        <v>349</v>
      </c>
      <c r="J48" s="20" t="s">
        <v>349</v>
      </c>
      <c r="K48" s="18" t="n">
        <v>0</v>
      </c>
      <c r="L48" s="20" t="n">
        <v>0</v>
      </c>
      <c r="M48" s="18" t="n">
        <v>0</v>
      </c>
      <c r="N48" s="20" t="n">
        <v>0</v>
      </c>
      <c r="O48" s="18" t="n">
        <v>0</v>
      </c>
      <c r="P48" s="20" t="n">
        <v>0</v>
      </c>
      <c r="Q48" s="18" t="n">
        <v>5.14564658</v>
      </c>
      <c r="R48" s="20" t="n">
        <v>1.49902213</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(5425.0/B50*100)</f>
        <v/>
      </c>
      <c r="D50" s="19" t="n">
        <v>733</v>
      </c>
      <c r="E50" s="18" t="n">
        <v>82.17666586999999</v>
      </c>
      <c r="F50" s="20" t="n">
        <v>1.849508</v>
      </c>
      <c r="G50" s="18" t="n">
        <v>8.09601608</v>
      </c>
      <c r="H50" s="20" t="n">
        <v>1.3615967</v>
      </c>
      <c r="I50" s="18" t="s">
        <v>349</v>
      </c>
      <c r="J50" s="20" t="s">
        <v>349</v>
      </c>
      <c r="K50" s="18" t="n">
        <v>2.10162114</v>
      </c>
      <c r="L50" s="20" t="n">
        <v>0.64118753</v>
      </c>
      <c r="M50" s="18" t="n">
        <v>0</v>
      </c>
      <c r="N50" s="20" t="n">
        <v>0</v>
      </c>
      <c r="O50" s="18" t="n">
        <v>0</v>
      </c>
      <c r="P50" s="20" t="n">
        <v>0</v>
      </c>
      <c r="Q50" s="18" t="n">
        <v>7.62569692</v>
      </c>
      <c r="R50" s="20" t="n">
        <v>1.1601672</v>
      </c>
    </row>
    <row r="51" spans="1:18">
      <c r="A51" s="15" t="s">
        <v>393</v>
      </c>
      <c r="B51" s="17" t="n">
        <v>3494</v>
      </c>
      <c r="C51" s="18">
        <f>(3111.0/B51*100)</f>
        <v/>
      </c>
      <c r="D51" s="19" t="n">
        <v>383</v>
      </c>
      <c r="E51" s="18" t="n">
        <v>82.45277145</v>
      </c>
      <c r="F51" s="20" t="n">
        <v>2.08312912</v>
      </c>
      <c r="G51" s="18" t="n">
        <v>7.30782871</v>
      </c>
      <c r="H51" s="20" t="n">
        <v>1.43934498</v>
      </c>
      <c r="I51" s="18" t="s">
        <v>349</v>
      </c>
      <c r="J51" s="20" t="s">
        <v>349</v>
      </c>
      <c r="K51" s="18" t="n">
        <v>1.1894948</v>
      </c>
      <c r="L51" s="20" t="n">
        <v>0.82515909</v>
      </c>
      <c r="M51" s="18" t="n">
        <v>0</v>
      </c>
      <c r="N51" s="20" t="n">
        <v>0</v>
      </c>
      <c r="O51" s="18" t="n">
        <v>0</v>
      </c>
      <c r="P51" s="20" t="n">
        <v>0</v>
      </c>
      <c r="Q51" s="18" t="n">
        <v>9.04990503</v>
      </c>
      <c r="R51" s="20" t="n">
        <v>1.43892769</v>
      </c>
    </row>
    <row r="52" spans="1:18">
      <c r="A52" s="15" t="s">
        <v>394</v>
      </c>
      <c r="B52" s="17" t="n">
        <v>3013</v>
      </c>
      <c r="C52" s="18">
        <f>(2646.0/B52*100)</f>
        <v/>
      </c>
      <c r="D52" s="19" t="n">
        <v>367</v>
      </c>
      <c r="E52" s="18" t="n">
        <v>59.1270112</v>
      </c>
      <c r="F52" s="20" t="n">
        <v>2.5009138</v>
      </c>
      <c r="G52" s="18" t="n">
        <v>22.5717165</v>
      </c>
      <c r="H52" s="20" t="n">
        <v>2.25221555</v>
      </c>
      <c r="I52" s="18" t="s">
        <v>349</v>
      </c>
      <c r="J52" s="20" t="s">
        <v>349</v>
      </c>
      <c r="K52" s="18" t="n">
        <v>1.54316192</v>
      </c>
      <c r="L52" s="20" t="n">
        <v>0.72115897</v>
      </c>
      <c r="M52" s="18" t="n">
        <v>0</v>
      </c>
      <c r="N52" s="20" t="n">
        <v>0</v>
      </c>
      <c r="O52" s="18" t="n">
        <v>0</v>
      </c>
      <c r="P52" s="20" t="n">
        <v>0</v>
      </c>
      <c r="Q52" s="18" t="n">
        <v>16.75811038</v>
      </c>
      <c r="R52" s="20" t="n">
        <v>1.74174719</v>
      </c>
    </row>
    <row r="53" spans="1:18">
      <c r="A53" s="15" t="s">
        <v>395</v>
      </c>
      <c r="B53" s="17" t="n">
        <v>2760</v>
      </c>
      <c r="C53" s="18">
        <f>(2421.0/B53*100)</f>
        <v/>
      </c>
      <c r="D53" s="19" t="n">
        <v>339</v>
      </c>
      <c r="E53" s="18" t="n">
        <v>73.67253126999999</v>
      </c>
      <c r="F53" s="20" t="n">
        <v>2.48643043</v>
      </c>
      <c r="G53" s="18" t="n">
        <v>17.02604614</v>
      </c>
      <c r="H53" s="20" t="n">
        <v>2.19121573</v>
      </c>
      <c r="I53" s="18" t="s">
        <v>349</v>
      </c>
      <c r="J53" s="20" t="s">
        <v>349</v>
      </c>
      <c r="K53" s="18" t="n">
        <v>0.8459671</v>
      </c>
      <c r="L53" s="20" t="n">
        <v>0.51401171</v>
      </c>
      <c r="M53" s="18" t="n">
        <v>0</v>
      </c>
      <c r="N53" s="20" t="n">
        <v>0</v>
      </c>
      <c r="O53" s="18" t="n">
        <v>0</v>
      </c>
      <c r="P53" s="20" t="n">
        <v>0</v>
      </c>
      <c r="Q53" s="18" t="n">
        <v>8.45545549</v>
      </c>
      <c r="R53" s="20" t="n">
        <v>1.36437034</v>
      </c>
    </row>
    <row r="54" spans="1:18">
      <c r="A54" s="15" t="s">
        <v>396</v>
      </c>
      <c r="B54" s="17" t="n">
        <v>2474</v>
      </c>
      <c r="C54" s="18">
        <f>(2087.0/B54*100)</f>
        <v/>
      </c>
      <c r="D54" s="19" t="n">
        <v>387</v>
      </c>
      <c r="E54" s="18" t="n">
        <v>64.59201604</v>
      </c>
      <c r="F54" s="20" t="n">
        <v>2.68602551</v>
      </c>
      <c r="G54" s="18" t="n">
        <v>1.14833386</v>
      </c>
      <c r="H54" s="20" t="n">
        <v>0.58054408</v>
      </c>
      <c r="I54" s="18" t="s">
        <v>349</v>
      </c>
      <c r="J54" s="20" t="s">
        <v>349</v>
      </c>
      <c r="K54" s="18" t="n">
        <v>18.99946069</v>
      </c>
      <c r="L54" s="20" t="n">
        <v>2.26431408</v>
      </c>
      <c r="M54" s="18" t="n">
        <v>0</v>
      </c>
      <c r="N54" s="20" t="n">
        <v>0</v>
      </c>
      <c r="O54" s="18" t="n">
        <v>0</v>
      </c>
      <c r="P54" s="20" t="n">
        <v>0</v>
      </c>
      <c r="Q54" s="18" t="n">
        <v>15.26018941</v>
      </c>
      <c r="R54" s="20" t="n">
        <v>1.9361411</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(2323.0/B56*100)</f>
        <v/>
      </c>
      <c r="D56" s="19" t="n">
        <v>352</v>
      </c>
      <c r="E56" s="18" t="n">
        <v>56.78269208</v>
      </c>
      <c r="F56" s="20" t="n">
        <v>3.00796241</v>
      </c>
      <c r="G56" s="18" t="n">
        <v>41.44717446</v>
      </c>
      <c r="H56" s="20" t="n">
        <v>3.00099831</v>
      </c>
      <c r="I56" s="18" t="s">
        <v>349</v>
      </c>
      <c r="J56" s="20" t="s">
        <v>349</v>
      </c>
      <c r="K56" s="18" t="n">
        <v>0</v>
      </c>
      <c r="L56" s="20" t="n">
        <v>0</v>
      </c>
      <c r="M56" s="18" t="n">
        <v>0</v>
      </c>
      <c r="N56" s="20" t="n">
        <v>0</v>
      </c>
      <c r="O56" s="18" t="n">
        <v>0</v>
      </c>
      <c r="P56" s="20" t="n">
        <v>0</v>
      </c>
      <c r="Q56" s="18" t="n">
        <v>1.77013347</v>
      </c>
      <c r="R56" s="20" t="n">
        <v>0.57710856</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(2820.0/B61*100)</f>
        <v/>
      </c>
      <c r="D61" s="19" t="n">
        <v>381</v>
      </c>
      <c r="E61" s="18" t="n">
        <v>70.17826583</v>
      </c>
      <c r="F61" s="20" t="n">
        <v>2.6560978</v>
      </c>
      <c r="G61" s="18" t="n">
        <v>24.03264378</v>
      </c>
      <c r="H61" s="20" t="n">
        <v>2.58758287</v>
      </c>
      <c r="I61" s="18" t="s">
        <v>349</v>
      </c>
      <c r="J61" s="20" t="s">
        <v>349</v>
      </c>
      <c r="K61" s="18" t="n">
        <v>1.27454908</v>
      </c>
      <c r="L61" s="20" t="n">
        <v>0.64310102</v>
      </c>
      <c r="M61" s="18" t="n">
        <v>0</v>
      </c>
      <c r="N61" s="20" t="n">
        <v>0</v>
      </c>
      <c r="O61" s="18" t="n">
        <v>0</v>
      </c>
      <c r="P61" s="20" t="n">
        <v>0</v>
      </c>
      <c r="Q61" s="18" t="n">
        <v>4.51454131</v>
      </c>
      <c r="R61" s="20" t="n">
        <v>0.94345637</v>
      </c>
    </row>
    <row r="62" spans="1:18">
      <c r="A62" s="15" t="s">
        <v>404</v>
      </c>
      <c r="B62" s="17" t="n">
        <v>2230</v>
      </c>
      <c r="C62" s="18">
        <f>(1950.0/B62*100)</f>
        <v/>
      </c>
      <c r="D62" s="19" t="n">
        <v>280</v>
      </c>
      <c r="E62" s="18" t="n">
        <v>52.25516116</v>
      </c>
      <c r="F62" s="20" t="n">
        <v>3.15827491</v>
      </c>
      <c r="G62" s="18" t="n">
        <v>45.9397391</v>
      </c>
      <c r="H62" s="20" t="n">
        <v>3.19153657</v>
      </c>
      <c r="I62" s="18" t="s">
        <v>349</v>
      </c>
      <c r="J62" s="20" t="s">
        <v>349</v>
      </c>
      <c r="K62" s="18" t="n">
        <v>0</v>
      </c>
      <c r="L62" s="20" t="n">
        <v>0</v>
      </c>
      <c r="M62" s="18" t="n">
        <v>0</v>
      </c>
      <c r="N62" s="20" t="n">
        <v>0</v>
      </c>
      <c r="O62" s="18" t="n">
        <v>0</v>
      </c>
      <c r="P62" s="20" t="n">
        <v>0</v>
      </c>
      <c r="Q62" s="18" t="n">
        <v>1.80509975</v>
      </c>
      <c r="R62" s="20" t="n">
        <v>0.8066175799999999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(2439.0/B66*100)</f>
        <v/>
      </c>
      <c r="D66" s="19" t="n">
        <v>332</v>
      </c>
      <c r="E66" s="18" t="n">
        <v>63.53868179</v>
      </c>
      <c r="F66" s="20" t="n">
        <v>2.65215595</v>
      </c>
      <c r="G66" s="18" t="n">
        <v>13.30815015</v>
      </c>
      <c r="H66" s="20" t="n">
        <v>1.76333529</v>
      </c>
      <c r="I66" s="18" t="s">
        <v>349</v>
      </c>
      <c r="J66" s="20" t="s">
        <v>349</v>
      </c>
      <c r="K66" s="18" t="n">
        <v>4.09969213</v>
      </c>
      <c r="L66" s="20" t="n">
        <v>1.06433949</v>
      </c>
      <c r="M66" s="18" t="n">
        <v>0</v>
      </c>
      <c r="N66" s="20" t="n">
        <v>0</v>
      </c>
      <c r="O66" s="18" t="n">
        <v>0</v>
      </c>
      <c r="P66" s="20" t="n">
        <v>0</v>
      </c>
      <c r="Q66" s="18" t="n">
        <v>19.05347593</v>
      </c>
      <c r="R66" s="20" t="n">
        <v>2.04515274</v>
      </c>
    </row>
    <row r="67" spans="1:18">
      <c r="A67" s="15" t="s">
        <v>409</v>
      </c>
      <c r="B67" s="17" t="n">
        <v>3460</v>
      </c>
      <c r="C67" s="18">
        <f>(3085.0/B67*100)</f>
        <v/>
      </c>
      <c r="D67" s="19" t="n">
        <v>375</v>
      </c>
      <c r="E67" s="18" t="n">
        <v>75.68608623</v>
      </c>
      <c r="F67" s="20" t="n">
        <v>2.37122142</v>
      </c>
      <c r="G67" s="18" t="n">
        <v>9.96470343</v>
      </c>
      <c r="H67" s="20" t="n">
        <v>1.48274589</v>
      </c>
      <c r="I67" s="18" t="s">
        <v>349</v>
      </c>
      <c r="J67" s="20" t="s">
        <v>349</v>
      </c>
      <c r="K67" s="18" t="n">
        <v>2.10756698</v>
      </c>
      <c r="L67" s="20" t="n">
        <v>0.7450550500000001</v>
      </c>
      <c r="M67" s="18" t="n">
        <v>0</v>
      </c>
      <c r="N67" s="20" t="n">
        <v>0</v>
      </c>
      <c r="O67" s="18" t="n">
        <v>0</v>
      </c>
      <c r="P67" s="20" t="n">
        <v>0</v>
      </c>
      <c r="Q67" s="18" t="n">
        <v>12.24164336</v>
      </c>
      <c r="R67" s="20" t="n">
        <v>1.77762264</v>
      </c>
    </row>
    <row r="68" spans="1:18">
      <c r="A68" s="15" t="s">
        <v>410</v>
      </c>
      <c r="B68" s="17" t="n">
        <v>6034</v>
      </c>
      <c r="C68" s="18">
        <f>(5023.0/B68*100)</f>
        <v/>
      </c>
      <c r="D68" s="19" t="n">
        <v>1011</v>
      </c>
      <c r="E68" s="18" t="n">
        <v>76.1187484</v>
      </c>
      <c r="F68" s="20" t="n">
        <v>1.21881222</v>
      </c>
      <c r="G68" s="18" t="n">
        <v>11.58966658</v>
      </c>
      <c r="H68" s="20" t="n">
        <v>0.89998752</v>
      </c>
      <c r="I68" s="18" t="s">
        <v>349</v>
      </c>
      <c r="J68" s="20" t="s">
        <v>349</v>
      </c>
      <c r="K68" s="18" t="n">
        <v>3.21557703</v>
      </c>
      <c r="L68" s="20" t="n">
        <v>0.56509643</v>
      </c>
      <c r="M68" s="18" t="n">
        <v>0</v>
      </c>
      <c r="N68" s="20" t="n">
        <v>0</v>
      </c>
      <c r="O68" s="18" t="n">
        <v>0</v>
      </c>
      <c r="P68" s="20" t="n">
        <v>0</v>
      </c>
      <c r="Q68" s="18" t="n">
        <v>9.076007990000001</v>
      </c>
      <c r="R68" s="20" t="n">
        <v>0.7566557699999999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(2730.0/B70*100)</f>
        <v/>
      </c>
      <c r="D70" s="19" t="n">
        <v>377</v>
      </c>
      <c r="E70" s="18" t="n">
        <v>63.30128232</v>
      </c>
      <c r="F70" s="20" t="n">
        <v>2.51272218</v>
      </c>
      <c r="G70" s="18" t="n">
        <v>26.95889773</v>
      </c>
      <c r="H70" s="20" t="n">
        <v>2.24247519</v>
      </c>
      <c r="I70" s="18" t="s">
        <v>349</v>
      </c>
      <c r="J70" s="20" t="s">
        <v>349</v>
      </c>
      <c r="K70" s="18" t="n">
        <v>2.36377345</v>
      </c>
      <c r="L70" s="20" t="n">
        <v>0.6749883800000001</v>
      </c>
      <c r="M70" s="18" t="n">
        <v>0</v>
      </c>
      <c r="N70" s="20" t="n">
        <v>0</v>
      </c>
      <c r="O70" s="18" t="n">
        <v>0</v>
      </c>
      <c r="P70" s="20" t="n">
        <v>0</v>
      </c>
      <c r="Q70" s="18" t="n">
        <v>7.3760465</v>
      </c>
      <c r="R70" s="20" t="n">
        <v>1.63633613</v>
      </c>
    </row>
    <row r="71" spans="1:18">
      <c r="A71" s="15" t="s">
        <v>413</v>
      </c>
      <c r="B71" s="17" t="n">
        <v>2973</v>
      </c>
      <c r="C71" s="18">
        <f>(2614.0/B71*100)</f>
        <v/>
      </c>
      <c r="D71" s="19" t="n">
        <v>359</v>
      </c>
      <c r="E71" s="18" t="n">
        <v>44.7188681</v>
      </c>
      <c r="F71" s="20" t="n">
        <v>2.75350808</v>
      </c>
      <c r="G71" s="18" t="n">
        <v>52.60963989</v>
      </c>
      <c r="H71" s="20" t="n">
        <v>2.69144481</v>
      </c>
      <c r="I71" s="18" t="s">
        <v>349</v>
      </c>
      <c r="J71" s="20" t="s">
        <v>349</v>
      </c>
      <c r="K71" s="18" t="n">
        <v>0.32468717</v>
      </c>
      <c r="L71" s="20" t="n">
        <v>0.32700921</v>
      </c>
      <c r="M71" s="18" t="n">
        <v>0</v>
      </c>
      <c r="N71" s="20" t="n">
        <v>0</v>
      </c>
      <c r="O71" s="18" t="n">
        <v>0</v>
      </c>
      <c r="P71" s="20" t="n">
        <v>0</v>
      </c>
      <c r="Q71" s="18" t="n">
        <v>2.34680485</v>
      </c>
      <c r="R71" s="20" t="n">
        <v>0.74148322</v>
      </c>
    </row>
    <row r="72" spans="1:18">
      <c r="A72" s="15" t="s">
        <v>414</v>
      </c>
      <c r="B72" s="17" t="n">
        <v>3819</v>
      </c>
      <c r="C72" s="18">
        <f>(3345.0/B72*100)</f>
        <v/>
      </c>
      <c r="D72" s="19" t="n">
        <v>474</v>
      </c>
      <c r="E72" s="18" t="n">
        <v>60.38924054</v>
      </c>
      <c r="F72" s="20" t="n">
        <v>2.14071058</v>
      </c>
      <c r="G72" s="18" t="n">
        <v>36.80012273</v>
      </c>
      <c r="H72" s="20" t="n">
        <v>2.23321718</v>
      </c>
      <c r="I72" s="18" t="s">
        <v>349</v>
      </c>
      <c r="J72" s="20" t="s">
        <v>349</v>
      </c>
      <c r="K72" s="18" t="n">
        <v>0.15894105</v>
      </c>
      <c r="L72" s="20" t="n">
        <v>0.16076857</v>
      </c>
      <c r="M72" s="18" t="n">
        <v>0</v>
      </c>
      <c r="N72" s="20" t="n">
        <v>0</v>
      </c>
      <c r="O72" s="18" t="n">
        <v>0</v>
      </c>
      <c r="P72" s="20" t="n">
        <v>0</v>
      </c>
      <c r="Q72" s="18" t="n">
        <v>2.65169568</v>
      </c>
      <c r="R72" s="20" t="n">
        <v>0.64482786</v>
      </c>
    </row>
    <row r="73" spans="1:18">
      <c r="A73" s="15" t="s">
        <v>415</v>
      </c>
      <c r="B73" s="17" t="n">
        <v>4652</v>
      </c>
      <c r="C73" s="18">
        <f>(4130.0/B73*100)</f>
        <v/>
      </c>
      <c r="D73" s="19" t="n">
        <v>522</v>
      </c>
      <c r="E73" s="18" t="n">
        <v>76.66148833</v>
      </c>
      <c r="F73" s="20" t="n">
        <v>2.00327185</v>
      </c>
      <c r="G73" s="18" t="n">
        <v>14.38507478</v>
      </c>
      <c r="H73" s="20" t="n">
        <v>1.68835828</v>
      </c>
      <c r="I73" s="18" t="s">
        <v>349</v>
      </c>
      <c r="J73" s="20" t="s">
        <v>349</v>
      </c>
      <c r="K73" s="18" t="n">
        <v>0</v>
      </c>
      <c r="L73" s="20" t="n">
        <v>0</v>
      </c>
      <c r="M73" s="18" t="n">
        <v>0</v>
      </c>
      <c r="N73" s="20" t="n">
        <v>0</v>
      </c>
      <c r="O73" s="18" t="n">
        <v>0</v>
      </c>
      <c r="P73" s="20" t="n">
        <v>0</v>
      </c>
      <c r="Q73" s="18" t="n">
        <v>8.953436890000001</v>
      </c>
      <c r="R73" s="20" t="n">
        <v>1.49681043</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(2637.0/B75*100)</f>
        <v/>
      </c>
      <c r="D75" s="19" t="n">
        <v>332</v>
      </c>
      <c r="E75" s="18" t="n">
        <v>74.11438755</v>
      </c>
      <c r="F75" s="20" t="n">
        <v>2.35948348</v>
      </c>
      <c r="G75" s="18" t="n">
        <v>4.68314695</v>
      </c>
      <c r="H75" s="20" t="n">
        <v>1.03100664</v>
      </c>
      <c r="I75" s="18" t="s">
        <v>349</v>
      </c>
      <c r="J75" s="20" t="s">
        <v>349</v>
      </c>
      <c r="K75" s="18" t="n">
        <v>7.27961962</v>
      </c>
      <c r="L75" s="20" t="n">
        <v>1.47942448</v>
      </c>
      <c r="M75" s="18" t="n">
        <v>0</v>
      </c>
      <c r="N75" s="20" t="n">
        <v>0</v>
      </c>
      <c r="O75" s="18" t="n">
        <v>0</v>
      </c>
      <c r="P75" s="20" t="n">
        <v>0</v>
      </c>
      <c r="Q75" s="18" t="n">
        <v>13.92284588</v>
      </c>
      <c r="R75" s="20" t="n">
        <v>1.57076029</v>
      </c>
    </row>
    <row r="76" spans="1:18">
      <c r="A76" s="15" t="s">
        <v>418</v>
      </c>
      <c r="B76" s="17" t="n">
        <v>7115</v>
      </c>
      <c r="C76" s="18">
        <f>(6246.0/B76*100)</f>
        <v/>
      </c>
      <c r="D76" s="19" t="n">
        <v>869</v>
      </c>
      <c r="E76" s="18" t="n">
        <v>72.76843956</v>
      </c>
      <c r="F76" s="20" t="n">
        <v>1.68461115</v>
      </c>
      <c r="G76" s="18" t="n">
        <v>19.01566848</v>
      </c>
      <c r="H76" s="20" t="n">
        <v>1.48939869</v>
      </c>
      <c r="I76" s="18" t="s">
        <v>349</v>
      </c>
      <c r="J76" s="20" t="s">
        <v>349</v>
      </c>
      <c r="K76" s="18" t="n">
        <v>2.02739482</v>
      </c>
      <c r="L76" s="20" t="n">
        <v>0.58928146</v>
      </c>
      <c r="M76" s="18" t="n">
        <v>0</v>
      </c>
      <c r="N76" s="20" t="n">
        <v>0</v>
      </c>
      <c r="O76" s="18" t="n">
        <v>0</v>
      </c>
      <c r="P76" s="20" t="n">
        <v>0</v>
      </c>
      <c r="Q76" s="18" t="n">
        <v>6.18849714</v>
      </c>
      <c r="R76" s="20" t="n">
        <v>0.94538372</v>
      </c>
    </row>
    <row r="77" spans="1:18">
      <c r="A77" s="15" t="s">
        <v>419</v>
      </c>
      <c r="B77" s="17" t="n">
        <v>3154</v>
      </c>
      <c r="C77" s="18">
        <f>(2796.0/B77*100)</f>
        <v/>
      </c>
      <c r="D77" s="19" t="n">
        <v>358</v>
      </c>
      <c r="E77" s="18" t="n">
        <v>64.85609820000001</v>
      </c>
      <c r="F77" s="20" t="n">
        <v>2.53934203</v>
      </c>
      <c r="G77" s="18" t="n">
        <v>10.07765327</v>
      </c>
      <c r="H77" s="20" t="n">
        <v>1.60305604</v>
      </c>
      <c r="I77" s="18" t="s">
        <v>349</v>
      </c>
      <c r="J77" s="20" t="s">
        <v>349</v>
      </c>
      <c r="K77" s="18" t="n">
        <v>4.86250727</v>
      </c>
      <c r="L77" s="20" t="n">
        <v>1.20718371</v>
      </c>
      <c r="M77" s="18" t="n">
        <v>0</v>
      </c>
      <c r="N77" s="20" t="n">
        <v>0</v>
      </c>
      <c r="O77" s="18" t="n">
        <v>0</v>
      </c>
      <c r="P77" s="20" t="n">
        <v>0</v>
      </c>
      <c r="Q77" s="18" t="n">
        <v>20.20374126</v>
      </c>
      <c r="R77" s="20" t="n">
        <v>2.21205209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(4141.0/B81*100)</f>
        <v/>
      </c>
      <c r="D81" s="19" t="n">
        <v>557</v>
      </c>
      <c r="E81" s="18" t="n">
        <v>84.86359018</v>
      </c>
      <c r="F81" s="20" t="n">
        <v>2.02489898</v>
      </c>
      <c r="G81" s="18" t="n">
        <v>11.03064584</v>
      </c>
      <c r="H81" s="20" t="n">
        <v>1.72916921</v>
      </c>
      <c r="I81" s="18" t="s">
        <v>349</v>
      </c>
      <c r="J81" s="20" t="s">
        <v>349</v>
      </c>
      <c r="K81" s="18" t="n">
        <v>0.70378543</v>
      </c>
      <c r="L81" s="20" t="n">
        <v>0.40362755</v>
      </c>
      <c r="M81" s="18" t="n">
        <v>0</v>
      </c>
      <c r="N81" s="20" t="n">
        <v>0</v>
      </c>
      <c r="O81" s="18" t="n">
        <v>0</v>
      </c>
      <c r="P81" s="20" t="n">
        <v>0</v>
      </c>
      <c r="Q81" s="18" t="n">
        <v>3.40197855</v>
      </c>
      <c r="R81" s="20" t="n">
        <v>1.07168216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454</v>
      </c>
    </row>
    <row customHeight="1" ht="30" r="4" spans="1:24">
      <c r="A4" s="6" t="n"/>
      <c r="B4" s="7" t="s">
        <v>333</v>
      </c>
      <c r="C4" s="7" t="s">
        <v>334</v>
      </c>
      <c r="D4" s="8" t="s">
        <v>333</v>
      </c>
      <c r="E4" s="9" t="s">
        <v>455</v>
      </c>
      <c r="F4" s="10" t="n"/>
      <c r="G4" s="9" t="s">
        <v>456</v>
      </c>
      <c r="H4" s="10" t="n"/>
      <c r="I4" s="9" t="s">
        <v>441</v>
      </c>
      <c r="J4" s="10" t="n"/>
      <c r="K4" s="9" t="s">
        <v>442</v>
      </c>
      <c r="L4" s="10" t="n"/>
      <c r="M4" s="9" t="s">
        <v>444</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row>
    <row r="6" spans="1:24">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348</v>
      </c>
      <c r="B7" s="17" t="n">
        <v>7163</v>
      </c>
      <c r="C7" s="18">
        <f>(6270.0/B7*100)</f>
        <v/>
      </c>
      <c r="D7" s="19" t="n">
        <v>893</v>
      </c>
      <c r="E7" s="18" t="n">
        <v>43.06657184</v>
      </c>
      <c r="F7" s="20" t="n">
        <v>1.94252009</v>
      </c>
      <c r="G7" s="18" t="n">
        <v>25.28015063</v>
      </c>
      <c r="H7" s="20" t="n">
        <v>1.37986924</v>
      </c>
      <c r="I7" s="18" t="n">
        <v>0.56770197</v>
      </c>
      <c r="J7" s="20" t="n">
        <v>0.3001571</v>
      </c>
      <c r="K7" s="18" t="n">
        <v>1.61622228</v>
      </c>
      <c r="L7" s="20" t="n">
        <v>0.4809995</v>
      </c>
      <c r="M7" s="18" t="n">
        <v>1.11856602</v>
      </c>
      <c r="N7" s="20" t="n">
        <v>0.44954076</v>
      </c>
      <c r="O7" s="18" t="s">
        <v>349</v>
      </c>
      <c r="P7" s="20" t="s">
        <v>349</v>
      </c>
      <c r="Q7" s="18" t="n">
        <v>1.5366149</v>
      </c>
      <c r="R7" s="20" t="n">
        <v>0.40577879</v>
      </c>
      <c r="S7" s="18" t="n">
        <v>0.01147912</v>
      </c>
      <c r="T7" s="20" t="n">
        <v>0.01161755</v>
      </c>
      <c r="U7" s="18" t="n">
        <v>0</v>
      </c>
      <c r="V7" s="20" t="n">
        <v>0</v>
      </c>
      <c r="W7" s="18" t="n">
        <v>26.80269324</v>
      </c>
      <c r="X7" s="20" t="n">
        <v>1.82224648</v>
      </c>
    </row>
    <row r="8" spans="1:24">
      <c r="A8" s="15" t="s">
        <v>350</v>
      </c>
      <c r="B8" s="17" t="n">
        <v>3443</v>
      </c>
      <c r="C8" s="18">
        <f>(3035.0/B8*100)</f>
        <v/>
      </c>
      <c r="D8" s="19" t="n">
        <v>408</v>
      </c>
      <c r="E8" s="18" t="n">
        <v>37.9735989</v>
      </c>
      <c r="F8" s="20" t="n">
        <v>2.76816684</v>
      </c>
      <c r="G8" s="18" t="n">
        <v>27.69127084</v>
      </c>
      <c r="H8" s="20" t="n">
        <v>2.64986611</v>
      </c>
      <c r="I8" s="18" t="n">
        <v>0.47510037</v>
      </c>
      <c r="J8" s="20" t="n">
        <v>0.33526107</v>
      </c>
      <c r="K8" s="18" t="n">
        <v>3.44627092</v>
      </c>
      <c r="L8" s="20" t="n">
        <v>0.89735253</v>
      </c>
      <c r="M8" s="18" t="n">
        <v>1.9091212</v>
      </c>
      <c r="N8" s="20" t="n">
        <v>0.55672597</v>
      </c>
      <c r="O8" s="18" t="s">
        <v>349</v>
      </c>
      <c r="P8" s="20" t="s">
        <v>349</v>
      </c>
      <c r="Q8" s="18" t="n">
        <v>3.40528973</v>
      </c>
      <c r="R8" s="20" t="n">
        <v>0.86212208</v>
      </c>
      <c r="S8" s="18" t="n">
        <v>0</v>
      </c>
      <c r="T8" s="20" t="n">
        <v>0</v>
      </c>
      <c r="U8" s="18" t="n">
        <v>0</v>
      </c>
      <c r="V8" s="20" t="n">
        <v>0</v>
      </c>
      <c r="W8" s="18" t="n">
        <v>25.09934804</v>
      </c>
      <c r="X8" s="20" t="n">
        <v>2.27230686</v>
      </c>
    </row>
    <row r="9" spans="1:24">
      <c r="A9" s="15" t="s">
        <v>351</v>
      </c>
      <c r="B9" s="17" t="n">
        <v>4752</v>
      </c>
      <c r="C9" s="18">
        <f>(4189.0/B9*100)</f>
        <v/>
      </c>
      <c r="D9" s="19" t="n">
        <v>563</v>
      </c>
      <c r="E9" s="18" t="n">
        <v>44.17423432</v>
      </c>
      <c r="F9" s="20" t="n">
        <v>1.92379756</v>
      </c>
      <c r="G9" s="18" t="n">
        <v>18.92671862</v>
      </c>
      <c r="H9" s="20" t="n">
        <v>1.76636</v>
      </c>
      <c r="I9" s="18" t="n">
        <v>0.26936826</v>
      </c>
      <c r="J9" s="20" t="n">
        <v>0.19632671</v>
      </c>
      <c r="K9" s="18" t="n">
        <v>8.84144731</v>
      </c>
      <c r="L9" s="20" t="n">
        <v>1.34821572</v>
      </c>
      <c r="M9" s="18" t="n">
        <v>4.40355542</v>
      </c>
      <c r="N9" s="20" t="n">
        <v>0.8235092000000001</v>
      </c>
      <c r="O9" s="18" t="s">
        <v>349</v>
      </c>
      <c r="P9" s="20" t="s">
        <v>349</v>
      </c>
      <c r="Q9" s="18" t="n">
        <v>1.21108329</v>
      </c>
      <c r="R9" s="20" t="n">
        <v>0.49950424</v>
      </c>
      <c r="S9" s="18" t="n">
        <v>0.36774285</v>
      </c>
      <c r="T9" s="20" t="n">
        <v>0.26604643</v>
      </c>
      <c r="U9" s="18" t="n">
        <v>0</v>
      </c>
      <c r="V9" s="20" t="n">
        <v>0</v>
      </c>
      <c r="W9" s="18" t="n">
        <v>21.80584993</v>
      </c>
      <c r="X9" s="20" t="n">
        <v>1.84465144</v>
      </c>
    </row>
    <row r="10" spans="1:24">
      <c r="A10" s="15" t="s">
        <v>352</v>
      </c>
      <c r="B10" s="17" t="n">
        <v>10022</v>
      </c>
      <c r="C10" s="18">
        <f>(8842.0/B10*100)</f>
        <v/>
      </c>
      <c r="D10" s="19" t="n">
        <v>1180</v>
      </c>
      <c r="E10" s="18" t="n">
        <v>48.71830834</v>
      </c>
      <c r="F10" s="20" t="n">
        <v>1.80725102</v>
      </c>
      <c r="G10" s="18" t="n">
        <v>23.11397242</v>
      </c>
      <c r="H10" s="20" t="n">
        <v>1.57282375</v>
      </c>
      <c r="I10" s="18" t="n">
        <v>0.66511307</v>
      </c>
      <c r="J10" s="20" t="n">
        <v>0.31484447</v>
      </c>
      <c r="K10" s="18" t="n">
        <v>3.1791063</v>
      </c>
      <c r="L10" s="20" t="n">
        <v>0.72066277</v>
      </c>
      <c r="M10" s="18" t="n">
        <v>2.65300095</v>
      </c>
      <c r="N10" s="20" t="n">
        <v>0.77243235</v>
      </c>
      <c r="O10" s="18" t="s">
        <v>349</v>
      </c>
      <c r="P10" s="20" t="s">
        <v>349</v>
      </c>
      <c r="Q10" s="18" t="n">
        <v>1.48617916</v>
      </c>
      <c r="R10" s="20" t="n">
        <v>0.51615825</v>
      </c>
      <c r="S10" s="18" t="n">
        <v>0.18921581</v>
      </c>
      <c r="T10" s="20" t="n">
        <v>0.11993379</v>
      </c>
      <c r="U10" s="18" t="n">
        <v>0</v>
      </c>
      <c r="V10" s="20" t="n">
        <v>0</v>
      </c>
      <c r="W10" s="18" t="n">
        <v>19.99510394</v>
      </c>
      <c r="X10" s="20" t="n">
        <v>1.69969126</v>
      </c>
    </row>
    <row r="11" spans="1:24">
      <c r="A11" s="15" t="s">
        <v>353</v>
      </c>
      <c r="B11" s="17" t="n">
        <v>3500</v>
      </c>
      <c r="C11" s="18">
        <f>(3088.0/B11*100)</f>
        <v/>
      </c>
      <c r="D11" s="19" t="n">
        <v>412</v>
      </c>
      <c r="E11" s="18" t="n">
        <v>29.91597481</v>
      </c>
      <c r="F11" s="20" t="n">
        <v>2.81279556</v>
      </c>
      <c r="G11" s="18" t="n">
        <v>20.50597388</v>
      </c>
      <c r="H11" s="20" t="n">
        <v>2.34305901</v>
      </c>
      <c r="I11" s="18" t="n">
        <v>0.14959161</v>
      </c>
      <c r="J11" s="20" t="n">
        <v>0.10204863</v>
      </c>
      <c r="K11" s="18" t="n">
        <v>0.24367224</v>
      </c>
      <c r="L11" s="20" t="n">
        <v>0.13804088</v>
      </c>
      <c r="M11" s="18" t="n">
        <v>0.74356518</v>
      </c>
      <c r="N11" s="20" t="n">
        <v>0.46341437</v>
      </c>
      <c r="O11" s="18" t="s">
        <v>349</v>
      </c>
      <c r="P11" s="20" t="s">
        <v>349</v>
      </c>
      <c r="Q11" s="18" t="n">
        <v>6.92541802</v>
      </c>
      <c r="R11" s="20" t="n">
        <v>1.25306232</v>
      </c>
      <c r="S11" s="18" t="n">
        <v>0</v>
      </c>
      <c r="T11" s="20" t="n">
        <v>0</v>
      </c>
      <c r="U11" s="18" t="n">
        <v>0</v>
      </c>
      <c r="V11" s="20" t="n">
        <v>0</v>
      </c>
      <c r="W11" s="18" t="n">
        <v>41.51580425</v>
      </c>
      <c r="X11" s="20" t="n">
        <v>2.96626161</v>
      </c>
    </row>
    <row r="12" spans="1:24">
      <c r="A12" s="15" t="s">
        <v>354</v>
      </c>
      <c r="B12" s="17" t="n">
        <v>3422</v>
      </c>
      <c r="C12" s="18">
        <f>(3009.0/B12*100)</f>
        <v/>
      </c>
      <c r="D12" s="19" t="n">
        <v>413</v>
      </c>
      <c r="E12" s="18" t="n">
        <v>39.77429619</v>
      </c>
      <c r="F12" s="20" t="n">
        <v>2.72411598</v>
      </c>
      <c r="G12" s="18" t="n">
        <v>15.0366343</v>
      </c>
      <c r="H12" s="20" t="n">
        <v>1.96820328</v>
      </c>
      <c r="I12" s="18" t="n">
        <v>3.00667599</v>
      </c>
      <c r="J12" s="20" t="n">
        <v>1.05401619</v>
      </c>
      <c r="K12" s="18" t="n">
        <v>13.75121815</v>
      </c>
      <c r="L12" s="20" t="n">
        <v>1.70225778</v>
      </c>
      <c r="M12" s="18" t="n">
        <v>3.67375535</v>
      </c>
      <c r="N12" s="20" t="n">
        <v>0.91693264</v>
      </c>
      <c r="O12" s="18" t="s">
        <v>349</v>
      </c>
      <c r="P12" s="20" t="s">
        <v>349</v>
      </c>
      <c r="Q12" s="18" t="n">
        <v>2.24676296</v>
      </c>
      <c r="R12" s="20" t="n">
        <v>1.01938207</v>
      </c>
      <c r="S12" s="18" t="n">
        <v>0</v>
      </c>
      <c r="T12" s="20" t="n">
        <v>0</v>
      </c>
      <c r="U12" s="18" t="n">
        <v>0</v>
      </c>
      <c r="V12" s="20" t="n">
        <v>0</v>
      </c>
      <c r="W12" s="18" t="n">
        <v>22.51065705</v>
      </c>
      <c r="X12" s="20" t="n">
        <v>2.37773001</v>
      </c>
    </row>
    <row r="13" spans="1:24">
      <c r="A13" s="15" t="s">
        <v>355</v>
      </c>
      <c r="B13" s="17" t="n">
        <v>3602</v>
      </c>
      <c r="C13" s="18">
        <f>(3206.0/B13*100)</f>
        <v/>
      </c>
      <c r="D13" s="19" t="n">
        <v>396</v>
      </c>
      <c r="E13" s="18" t="n">
        <v>36.92437536</v>
      </c>
      <c r="F13" s="20" t="n">
        <v>3.34325673</v>
      </c>
      <c r="G13" s="18" t="n">
        <v>30.45715099</v>
      </c>
      <c r="H13" s="20" t="n">
        <v>2.72347183</v>
      </c>
      <c r="I13" s="18" t="n">
        <v>0.84657178</v>
      </c>
      <c r="J13" s="20" t="n">
        <v>0.53917193</v>
      </c>
      <c r="K13" s="18" t="n">
        <v>4.03166608</v>
      </c>
      <c r="L13" s="20" t="n">
        <v>1.15616123</v>
      </c>
      <c r="M13" s="18" t="n">
        <v>0.71157253</v>
      </c>
      <c r="N13" s="20" t="n">
        <v>0.48061548</v>
      </c>
      <c r="O13" s="18" t="s">
        <v>349</v>
      </c>
      <c r="P13" s="20" t="s">
        <v>349</v>
      </c>
      <c r="Q13" s="18" t="n">
        <v>1.81822333</v>
      </c>
      <c r="R13" s="20" t="n">
        <v>0.70787289</v>
      </c>
      <c r="S13" s="18" t="n">
        <v>0.08888923999999999</v>
      </c>
      <c r="T13" s="20" t="n">
        <v>0.09004215</v>
      </c>
      <c r="U13" s="18" t="n">
        <v>0</v>
      </c>
      <c r="V13" s="20" t="n">
        <v>0</v>
      </c>
      <c r="W13" s="18" t="n">
        <v>25.1215507</v>
      </c>
      <c r="X13" s="20" t="n">
        <v>2.63190819</v>
      </c>
    </row>
    <row r="14" spans="1:24">
      <c r="A14" s="15" t="s">
        <v>356</v>
      </c>
      <c r="B14" s="17" t="n">
        <v>2788</v>
      </c>
      <c r="C14" s="18">
        <f>(2437.0/B14*100)</f>
        <v/>
      </c>
      <c r="D14" s="19" t="n">
        <v>351</v>
      </c>
      <c r="E14" s="18" t="n">
        <v>43.96380788</v>
      </c>
      <c r="F14" s="20" t="n">
        <v>2.85356201</v>
      </c>
      <c r="G14" s="18" t="n">
        <v>14.01309439</v>
      </c>
      <c r="H14" s="20" t="n">
        <v>1.60587704</v>
      </c>
      <c r="I14" s="18" t="n">
        <v>2.58036009</v>
      </c>
      <c r="J14" s="20" t="n">
        <v>0.90804436</v>
      </c>
      <c r="K14" s="18" t="n">
        <v>10.54542242</v>
      </c>
      <c r="L14" s="20" t="n">
        <v>1.90064312</v>
      </c>
      <c r="M14" s="18" t="n">
        <v>5.16574387</v>
      </c>
      <c r="N14" s="20" t="n">
        <v>1.27612961</v>
      </c>
      <c r="O14" s="18" t="s">
        <v>349</v>
      </c>
      <c r="P14" s="20" t="s">
        <v>349</v>
      </c>
      <c r="Q14" s="18" t="n">
        <v>1.82958405</v>
      </c>
      <c r="R14" s="20" t="n">
        <v>0.9854645</v>
      </c>
      <c r="S14" s="18" t="n">
        <v>0.23218755</v>
      </c>
      <c r="T14" s="20" t="n">
        <v>0.2343104</v>
      </c>
      <c r="U14" s="18" t="n">
        <v>0</v>
      </c>
      <c r="V14" s="20" t="n">
        <v>0</v>
      </c>
      <c r="W14" s="18" t="n">
        <v>21.66979974</v>
      </c>
      <c r="X14" s="20" t="n">
        <v>2.64873077</v>
      </c>
    </row>
    <row r="15" spans="1:24">
      <c r="A15" s="15" t="s">
        <v>357</v>
      </c>
      <c r="B15" s="17" t="n">
        <v>2863</v>
      </c>
      <c r="C15" s="18">
        <f>(2509.0/B15*100)</f>
        <v/>
      </c>
      <c r="D15" s="19" t="n">
        <v>354</v>
      </c>
      <c r="E15" s="18" t="n">
        <v>33.85126731</v>
      </c>
      <c r="F15" s="20" t="n">
        <v>2.52524181</v>
      </c>
      <c r="G15" s="18" t="n">
        <v>23.60307326</v>
      </c>
      <c r="H15" s="20" t="n">
        <v>2.39213561</v>
      </c>
      <c r="I15" s="18" t="n">
        <v>0.88206486</v>
      </c>
      <c r="J15" s="20" t="n">
        <v>0.51161671</v>
      </c>
      <c r="K15" s="18" t="n">
        <v>5.33941642</v>
      </c>
      <c r="L15" s="20" t="n">
        <v>1.02849388</v>
      </c>
      <c r="M15" s="18" t="n">
        <v>1.10345482</v>
      </c>
      <c r="N15" s="20" t="n">
        <v>0.56085706</v>
      </c>
      <c r="O15" s="18" t="s">
        <v>349</v>
      </c>
      <c r="P15" s="20" t="s">
        <v>349</v>
      </c>
      <c r="Q15" s="18" t="n">
        <v>2.44396916</v>
      </c>
      <c r="R15" s="20" t="n">
        <v>0.95652262</v>
      </c>
      <c r="S15" s="18" t="n">
        <v>0</v>
      </c>
      <c r="T15" s="20" t="n">
        <v>0</v>
      </c>
      <c r="U15" s="18" t="n">
        <v>0</v>
      </c>
      <c r="V15" s="20" t="n">
        <v>0</v>
      </c>
      <c r="W15" s="18" t="n">
        <v>32.77675417</v>
      </c>
      <c r="X15" s="20" t="n">
        <v>2.88834677</v>
      </c>
    </row>
    <row r="16" spans="1:24">
      <c r="A16" s="15" t="s">
        <v>358</v>
      </c>
      <c r="B16" s="17" t="n">
        <v>3111</v>
      </c>
      <c r="C16" s="18">
        <f>(2734.0/B16*100)</f>
        <v/>
      </c>
      <c r="D16" s="19" t="n">
        <v>377</v>
      </c>
      <c r="E16" s="18" t="n">
        <v>32.51158218</v>
      </c>
      <c r="F16" s="20" t="n">
        <v>2.68091202</v>
      </c>
      <c r="G16" s="18" t="n">
        <v>19.6224513</v>
      </c>
      <c r="H16" s="20" t="n">
        <v>2.38586683</v>
      </c>
      <c r="I16" s="18" t="n">
        <v>1.03547459</v>
      </c>
      <c r="J16" s="20" t="n">
        <v>0.64108353</v>
      </c>
      <c r="K16" s="18" t="n">
        <v>7.62329432</v>
      </c>
      <c r="L16" s="20" t="n">
        <v>1.37844542</v>
      </c>
      <c r="M16" s="18" t="n">
        <v>2.78906818</v>
      </c>
      <c r="N16" s="20" t="n">
        <v>0.72587566</v>
      </c>
      <c r="O16" s="18" t="s">
        <v>349</v>
      </c>
      <c r="P16" s="20" t="s">
        <v>349</v>
      </c>
      <c r="Q16" s="18" t="n">
        <v>4.13474374</v>
      </c>
      <c r="R16" s="20" t="n">
        <v>1.13840975</v>
      </c>
      <c r="S16" s="18" t="n">
        <v>0</v>
      </c>
      <c r="T16" s="20" t="n">
        <v>0</v>
      </c>
      <c r="U16" s="18" t="n">
        <v>0</v>
      </c>
      <c r="V16" s="20" t="n">
        <v>0</v>
      </c>
      <c r="W16" s="18" t="n">
        <v>32.28338569</v>
      </c>
      <c r="X16" s="20" t="n">
        <v>2.50873254</v>
      </c>
    </row>
    <row r="17" spans="1:24">
      <c r="A17" s="15" t="s">
        <v>359</v>
      </c>
      <c r="B17" s="17" t="n">
        <v>3197</v>
      </c>
      <c r="C17" s="18">
        <f>(2815.0/B17*100)</f>
        <v/>
      </c>
      <c r="D17" s="19" t="n">
        <v>382</v>
      </c>
      <c r="E17" s="18" t="n">
        <v>38.56746659</v>
      </c>
      <c r="F17" s="20" t="n">
        <v>2.54167766</v>
      </c>
      <c r="G17" s="18" t="n">
        <v>18.26761365</v>
      </c>
      <c r="H17" s="20" t="n">
        <v>1.88088115</v>
      </c>
      <c r="I17" s="18" t="n">
        <v>1.64784425</v>
      </c>
      <c r="J17" s="20" t="n">
        <v>0.60296426</v>
      </c>
      <c r="K17" s="18" t="n">
        <v>6.05142211</v>
      </c>
      <c r="L17" s="20" t="n">
        <v>1.33050605</v>
      </c>
      <c r="M17" s="18" t="n">
        <v>2.42266318</v>
      </c>
      <c r="N17" s="20" t="n">
        <v>0.82816019</v>
      </c>
      <c r="O17" s="18" t="s">
        <v>349</v>
      </c>
      <c r="P17" s="20" t="s">
        <v>349</v>
      </c>
      <c r="Q17" s="18" t="n">
        <v>1.35658861</v>
      </c>
      <c r="R17" s="20" t="n">
        <v>0.65922911</v>
      </c>
      <c r="S17" s="18" t="n">
        <v>0</v>
      </c>
      <c r="T17" s="20" t="n">
        <v>0</v>
      </c>
      <c r="U17" s="18" t="n">
        <v>0</v>
      </c>
      <c r="V17" s="20" t="n">
        <v>0</v>
      </c>
      <c r="W17" s="18" t="n">
        <v>31.68640162</v>
      </c>
      <c r="X17" s="20" t="n">
        <v>2.5723321</v>
      </c>
    </row>
    <row r="18" spans="1:24">
      <c r="A18" s="15" t="s">
        <v>360</v>
      </c>
      <c r="B18" s="17" t="n">
        <v>2706</v>
      </c>
      <c r="C18" s="18">
        <f>(2393.0/B18*100)</f>
        <v/>
      </c>
      <c r="D18" s="19" t="n">
        <v>313</v>
      </c>
      <c r="E18" s="18" t="n">
        <v>39.52337358</v>
      </c>
      <c r="F18" s="20" t="n">
        <v>2.97490149</v>
      </c>
      <c r="G18" s="18" t="n">
        <v>21.72513149</v>
      </c>
      <c r="H18" s="20" t="n">
        <v>2.3004688</v>
      </c>
      <c r="I18" s="18" t="n">
        <v>0.340013</v>
      </c>
      <c r="J18" s="20" t="n">
        <v>0.3390733</v>
      </c>
      <c r="K18" s="18" t="n">
        <v>4.38458383</v>
      </c>
      <c r="L18" s="20" t="n">
        <v>1.23089714</v>
      </c>
      <c r="M18" s="18" t="n">
        <v>8.01633137</v>
      </c>
      <c r="N18" s="20" t="n">
        <v>1.91803694</v>
      </c>
      <c r="O18" s="18" t="s">
        <v>349</v>
      </c>
      <c r="P18" s="20" t="s">
        <v>349</v>
      </c>
      <c r="Q18" s="18" t="n">
        <v>3.88959912</v>
      </c>
      <c r="R18" s="20" t="n">
        <v>0.99230391</v>
      </c>
      <c r="S18" s="18" t="n">
        <v>0</v>
      </c>
      <c r="T18" s="20" t="n">
        <v>0</v>
      </c>
      <c r="U18" s="18" t="n">
        <v>0</v>
      </c>
      <c r="V18" s="20" t="n">
        <v>0</v>
      </c>
      <c r="W18" s="18" t="n">
        <v>22.12096761</v>
      </c>
      <c r="X18" s="20" t="n">
        <v>2.52202318</v>
      </c>
    </row>
    <row r="19" spans="1:24">
      <c r="A19" s="15" t="s">
        <v>361</v>
      </c>
      <c r="B19" s="17" t="n">
        <v>2850</v>
      </c>
      <c r="C19" s="18">
        <f>(2495.0/B19*100)</f>
        <v/>
      </c>
      <c r="D19" s="19" t="n">
        <v>355</v>
      </c>
      <c r="E19" s="18" t="n">
        <v>31.09837809</v>
      </c>
      <c r="F19" s="20" t="n">
        <v>2.78247992</v>
      </c>
      <c r="G19" s="18" t="n">
        <v>25.40712417</v>
      </c>
      <c r="H19" s="20" t="n">
        <v>2.33592752</v>
      </c>
      <c r="I19" s="18" t="n">
        <v>1.36175159</v>
      </c>
      <c r="J19" s="20" t="n">
        <v>0.74876285</v>
      </c>
      <c r="K19" s="18" t="n">
        <v>9.02054727</v>
      </c>
      <c r="L19" s="20" t="n">
        <v>1.67991455</v>
      </c>
      <c r="M19" s="18" t="n">
        <v>1.87052789</v>
      </c>
      <c r="N19" s="20" t="n">
        <v>0.77923477</v>
      </c>
      <c r="O19" s="18" t="s">
        <v>349</v>
      </c>
      <c r="P19" s="20" t="s">
        <v>349</v>
      </c>
      <c r="Q19" s="18" t="n">
        <v>5.30008727</v>
      </c>
      <c r="R19" s="20" t="n">
        <v>1.45497492</v>
      </c>
      <c r="S19" s="18" t="n">
        <v>0</v>
      </c>
      <c r="T19" s="20" t="n">
        <v>0</v>
      </c>
      <c r="U19" s="18" t="n">
        <v>0</v>
      </c>
      <c r="V19" s="20" t="n">
        <v>0</v>
      </c>
      <c r="W19" s="18" t="n">
        <v>25.94158373</v>
      </c>
      <c r="X19" s="20" t="n">
        <v>2.4497756</v>
      </c>
    </row>
    <row r="20" spans="1:24">
      <c r="A20" s="15" t="s">
        <v>362</v>
      </c>
      <c r="B20" s="17" t="n">
        <v>1741</v>
      </c>
      <c r="C20" s="18">
        <f>(1525.0/B20*100)</f>
        <v/>
      </c>
      <c r="D20" s="19" t="n">
        <v>216</v>
      </c>
      <c r="E20" s="18" t="n">
        <v>57.30453455</v>
      </c>
      <c r="F20" s="20" t="n">
        <v>3.1536793</v>
      </c>
      <c r="G20" s="18" t="n">
        <v>16.81038113</v>
      </c>
      <c r="H20" s="20" t="n">
        <v>2.69015383</v>
      </c>
      <c r="I20" s="18" t="n">
        <v>0.85763258</v>
      </c>
      <c r="J20" s="20" t="n">
        <v>0.62125241</v>
      </c>
      <c r="K20" s="18" t="n">
        <v>4.61106315</v>
      </c>
      <c r="L20" s="20" t="n">
        <v>1.22936351</v>
      </c>
      <c r="M20" s="18" t="n">
        <v>2.162544</v>
      </c>
      <c r="N20" s="20" t="n">
        <v>0.98842054</v>
      </c>
      <c r="O20" s="18" t="s">
        <v>349</v>
      </c>
      <c r="P20" s="20" t="s">
        <v>349</v>
      </c>
      <c r="Q20" s="18" t="n">
        <v>3.89254485</v>
      </c>
      <c r="R20" s="20" t="n">
        <v>1.51227805</v>
      </c>
      <c r="S20" s="18" t="n">
        <v>0.70646504</v>
      </c>
      <c r="T20" s="20" t="n">
        <v>0.69312664</v>
      </c>
      <c r="U20" s="18" t="n">
        <v>0</v>
      </c>
      <c r="V20" s="20" t="n">
        <v>0</v>
      </c>
      <c r="W20" s="18" t="n">
        <v>13.6548347</v>
      </c>
      <c r="X20" s="20" t="n">
        <v>2.38732373</v>
      </c>
    </row>
    <row r="21" spans="1:24">
      <c r="A21" s="15" t="s">
        <v>363</v>
      </c>
      <c r="B21" s="17" t="n">
        <v>2833</v>
      </c>
      <c r="C21" s="18">
        <f>(2381.0/B21*100)</f>
        <v/>
      </c>
      <c r="D21" s="19" t="n">
        <v>452</v>
      </c>
      <c r="E21" s="18" t="n">
        <v>37.13845424</v>
      </c>
      <c r="F21" s="20" t="n">
        <v>2.35442446</v>
      </c>
      <c r="G21" s="18" t="n">
        <v>20.98405326</v>
      </c>
      <c r="H21" s="20" t="n">
        <v>2.14974782</v>
      </c>
      <c r="I21" s="18" t="n">
        <v>0.16078604</v>
      </c>
      <c r="J21" s="20" t="n">
        <v>0.16511998</v>
      </c>
      <c r="K21" s="18" t="n">
        <v>22.04305778</v>
      </c>
      <c r="L21" s="20" t="n">
        <v>1.68064131</v>
      </c>
      <c r="M21" s="18" t="n">
        <v>2.43438635</v>
      </c>
      <c r="N21" s="20" t="n">
        <v>0.8729403100000001</v>
      </c>
      <c r="O21" s="18" t="s">
        <v>349</v>
      </c>
      <c r="P21" s="20" t="s">
        <v>349</v>
      </c>
      <c r="Q21" s="18" t="n">
        <v>1.86494672</v>
      </c>
      <c r="R21" s="20" t="n">
        <v>0.63173697</v>
      </c>
      <c r="S21" s="18" t="n">
        <v>0</v>
      </c>
      <c r="T21" s="20" t="n">
        <v>0</v>
      </c>
      <c r="U21" s="18" t="n">
        <v>0</v>
      </c>
      <c r="V21" s="20" t="n">
        <v>0</v>
      </c>
      <c r="W21" s="18" t="n">
        <v>15.37431562</v>
      </c>
      <c r="X21" s="20" t="n">
        <v>1.43462751</v>
      </c>
    </row>
    <row r="22" spans="1:24">
      <c r="A22" s="15" t="s">
        <v>364</v>
      </c>
      <c r="B22" s="17" t="n">
        <v>3667</v>
      </c>
      <c r="C22" s="18">
        <f>(3214.0/B22*100)</f>
        <v/>
      </c>
      <c r="D22" s="19" t="n">
        <v>453</v>
      </c>
      <c r="E22" s="18" t="n">
        <v>29.39826611</v>
      </c>
      <c r="F22" s="20" t="n">
        <v>2.00169393</v>
      </c>
      <c r="G22" s="18" t="n">
        <v>25.43256645</v>
      </c>
      <c r="H22" s="20" t="n">
        <v>1.85002006</v>
      </c>
      <c r="I22" s="18" t="n">
        <v>0.77944418</v>
      </c>
      <c r="J22" s="20" t="n">
        <v>0.37831236</v>
      </c>
      <c r="K22" s="18" t="n">
        <v>4.43591774</v>
      </c>
      <c r="L22" s="20" t="n">
        <v>1.19372411</v>
      </c>
      <c r="M22" s="18" t="n">
        <v>1.85339689</v>
      </c>
      <c r="N22" s="20" t="n">
        <v>0.53538903</v>
      </c>
      <c r="O22" s="18" t="s">
        <v>349</v>
      </c>
      <c r="P22" s="20" t="s">
        <v>349</v>
      </c>
      <c r="Q22" s="18" t="n">
        <v>5.45018288</v>
      </c>
      <c r="R22" s="20" t="n">
        <v>1.11181724</v>
      </c>
      <c r="S22" s="18" t="n">
        <v>0.37368244</v>
      </c>
      <c r="T22" s="20" t="n">
        <v>0.36921523</v>
      </c>
      <c r="U22" s="18" t="n">
        <v>0</v>
      </c>
      <c r="V22" s="20" t="n">
        <v>0</v>
      </c>
      <c r="W22" s="18" t="n">
        <v>32.27654332</v>
      </c>
      <c r="X22" s="20" t="n">
        <v>2.25015771</v>
      </c>
    </row>
    <row r="23" spans="1:24">
      <c r="A23" s="15" t="s">
        <v>365</v>
      </c>
      <c r="B23" s="17" t="n">
        <v>5792</v>
      </c>
      <c r="C23" s="18">
        <f>(5062.0/B23*100)</f>
        <v/>
      </c>
      <c r="D23" s="19" t="n">
        <v>730</v>
      </c>
      <c r="E23" s="18" t="n">
        <v>27.95525099</v>
      </c>
      <c r="F23" s="20" t="n">
        <v>2.51954904</v>
      </c>
      <c r="G23" s="18" t="n">
        <v>19.93146501</v>
      </c>
      <c r="H23" s="20" t="n">
        <v>2.11735682</v>
      </c>
      <c r="I23" s="18" t="n">
        <v>1.2996234</v>
      </c>
      <c r="J23" s="20" t="n">
        <v>0.49199105</v>
      </c>
      <c r="K23" s="18" t="n">
        <v>6.95322983</v>
      </c>
      <c r="L23" s="20" t="n">
        <v>1.26381159</v>
      </c>
      <c r="M23" s="18" t="n">
        <v>10.5240505</v>
      </c>
      <c r="N23" s="20" t="n">
        <v>2.05336269</v>
      </c>
      <c r="O23" s="18" t="s">
        <v>349</v>
      </c>
      <c r="P23" s="20" t="s">
        <v>349</v>
      </c>
      <c r="Q23" s="18" t="n">
        <v>4.47029775</v>
      </c>
      <c r="R23" s="20" t="n">
        <v>1.23745243</v>
      </c>
      <c r="S23" s="18" t="n">
        <v>0</v>
      </c>
      <c r="T23" s="20" t="n">
        <v>0</v>
      </c>
      <c r="U23" s="18" t="n">
        <v>0</v>
      </c>
      <c r="V23" s="20" t="n">
        <v>0</v>
      </c>
      <c r="W23" s="18" t="n">
        <v>28.86608252</v>
      </c>
      <c r="X23" s="20" t="n">
        <v>2.36867493</v>
      </c>
    </row>
    <row r="24" spans="1:24">
      <c r="A24" s="15" t="s">
        <v>366</v>
      </c>
      <c r="B24" s="17" t="n">
        <v>3309</v>
      </c>
      <c r="C24" s="18">
        <f>(2886.0/B24*100)</f>
        <v/>
      </c>
      <c r="D24" s="19" t="n">
        <v>423</v>
      </c>
      <c r="E24" s="18" t="n">
        <v>22.73933532</v>
      </c>
      <c r="F24" s="20" t="n">
        <v>2.30261122</v>
      </c>
      <c r="G24" s="18" t="n">
        <v>25.00074454</v>
      </c>
      <c r="H24" s="20" t="n">
        <v>2.16177728</v>
      </c>
      <c r="I24" s="18" t="n">
        <v>1.09749848</v>
      </c>
      <c r="J24" s="20" t="n">
        <v>0.5550076</v>
      </c>
      <c r="K24" s="18" t="n">
        <v>5.79321837</v>
      </c>
      <c r="L24" s="20" t="n">
        <v>0.9566592</v>
      </c>
      <c r="M24" s="18" t="n">
        <v>4.58121644</v>
      </c>
      <c r="N24" s="20" t="n">
        <v>0.96947896</v>
      </c>
      <c r="O24" s="18" t="s">
        <v>349</v>
      </c>
      <c r="P24" s="20" t="s">
        <v>349</v>
      </c>
      <c r="Q24" s="18" t="n">
        <v>2.68083522</v>
      </c>
      <c r="R24" s="20" t="n">
        <v>1.01351103</v>
      </c>
      <c r="S24" s="18" t="n">
        <v>0.2311179</v>
      </c>
      <c r="T24" s="20" t="n">
        <v>0.23346132</v>
      </c>
      <c r="U24" s="18" t="n">
        <v>0</v>
      </c>
      <c r="V24" s="20" t="n">
        <v>0</v>
      </c>
      <c r="W24" s="18" t="n">
        <v>37.87603373</v>
      </c>
      <c r="X24" s="20" t="n">
        <v>2.52277407</v>
      </c>
    </row>
    <row r="25" spans="1:24">
      <c r="A25" s="15" t="s">
        <v>367</v>
      </c>
      <c r="B25" s="17" t="n">
        <v>2669</v>
      </c>
      <c r="C25" s="18">
        <f>(2340.0/B25*100)</f>
        <v/>
      </c>
      <c r="D25" s="19" t="n">
        <v>329</v>
      </c>
      <c r="E25" s="18" t="n">
        <v>19.61720104</v>
      </c>
      <c r="F25" s="20" t="n">
        <v>2.0465637</v>
      </c>
      <c r="G25" s="18" t="n">
        <v>14.03286598</v>
      </c>
      <c r="H25" s="20" t="n">
        <v>2.03541546</v>
      </c>
      <c r="I25" s="18" t="n">
        <v>1.38173912</v>
      </c>
      <c r="J25" s="20" t="n">
        <v>0.61487228</v>
      </c>
      <c r="K25" s="18" t="n">
        <v>18.21769969</v>
      </c>
      <c r="L25" s="20" t="n">
        <v>2.17165791</v>
      </c>
      <c r="M25" s="18" t="n">
        <v>29.05312066</v>
      </c>
      <c r="N25" s="20" t="n">
        <v>2.47765902</v>
      </c>
      <c r="O25" s="18" t="s">
        <v>349</v>
      </c>
      <c r="P25" s="20" t="s">
        <v>349</v>
      </c>
      <c r="Q25" s="18" t="n">
        <v>0.9573648</v>
      </c>
      <c r="R25" s="20" t="n">
        <v>0.5522135</v>
      </c>
      <c r="S25" s="18" t="n">
        <v>0</v>
      </c>
      <c r="T25" s="20" t="n">
        <v>0</v>
      </c>
      <c r="U25" s="18" t="n">
        <v>0</v>
      </c>
      <c r="V25" s="20" t="n">
        <v>0</v>
      </c>
      <c r="W25" s="18" t="n">
        <v>16.74000872</v>
      </c>
      <c r="X25" s="20" t="n">
        <v>2.27796518</v>
      </c>
    </row>
    <row r="26" spans="1:24">
      <c r="A26" s="15" t="s">
        <v>368</v>
      </c>
      <c r="B26" s="17" t="n">
        <v>2419</v>
      </c>
      <c r="C26" s="18">
        <f>(2126.0/B26*100)</f>
        <v/>
      </c>
      <c r="D26" s="19" t="n">
        <v>293</v>
      </c>
      <c r="E26" s="18" t="n">
        <v>36.52028982</v>
      </c>
      <c r="F26" s="20" t="n">
        <v>2.93860171</v>
      </c>
      <c r="G26" s="18" t="n">
        <v>27.28959162</v>
      </c>
      <c r="H26" s="20" t="n">
        <v>2.81732155</v>
      </c>
      <c r="I26" s="18" t="n">
        <v>3.95439428</v>
      </c>
      <c r="J26" s="20" t="n">
        <v>1.25791562</v>
      </c>
      <c r="K26" s="18" t="n">
        <v>15.10265845</v>
      </c>
      <c r="L26" s="20" t="n">
        <v>2.27894882</v>
      </c>
      <c r="M26" s="18" t="n">
        <v>4.95825949</v>
      </c>
      <c r="N26" s="20" t="n">
        <v>1.30392248</v>
      </c>
      <c r="O26" s="18" t="s">
        <v>349</v>
      </c>
      <c r="P26" s="20" t="s">
        <v>349</v>
      </c>
      <c r="Q26" s="18" t="n">
        <v>0.53442239</v>
      </c>
      <c r="R26" s="20" t="n">
        <v>0.36446591</v>
      </c>
      <c r="S26" s="18" t="n">
        <v>0</v>
      </c>
      <c r="T26" s="20" t="n">
        <v>0</v>
      </c>
      <c r="U26" s="18" t="n">
        <v>0</v>
      </c>
      <c r="V26" s="20" t="n">
        <v>0</v>
      </c>
      <c r="W26" s="18" t="n">
        <v>11.64038395</v>
      </c>
      <c r="X26" s="20" t="n">
        <v>2.00059138</v>
      </c>
    </row>
    <row r="27" spans="1:24">
      <c r="A27" s="15" t="s">
        <v>369</v>
      </c>
      <c r="B27" s="17" t="n">
        <v>2683</v>
      </c>
      <c r="C27" s="18">
        <f>(2378.0/B27*100)</f>
        <v/>
      </c>
      <c r="D27" s="19" t="n">
        <v>305</v>
      </c>
      <c r="E27" s="18" t="n">
        <v>44.29918142</v>
      </c>
      <c r="F27" s="20" t="n">
        <v>2.7834934</v>
      </c>
      <c r="G27" s="18" t="n">
        <v>18.36367756</v>
      </c>
      <c r="H27" s="20" t="n">
        <v>2.13150501</v>
      </c>
      <c r="I27" s="18" t="n">
        <v>0.97414199</v>
      </c>
      <c r="J27" s="20" t="n">
        <v>0.55285493</v>
      </c>
      <c r="K27" s="18" t="n">
        <v>4.46930157</v>
      </c>
      <c r="L27" s="20" t="n">
        <v>1.17146853</v>
      </c>
      <c r="M27" s="18" t="n">
        <v>2.64560085</v>
      </c>
      <c r="N27" s="20" t="n">
        <v>0.92688866</v>
      </c>
      <c r="O27" s="18" t="s">
        <v>349</v>
      </c>
      <c r="P27" s="20" t="s">
        <v>349</v>
      </c>
      <c r="Q27" s="18" t="n">
        <v>1.98161532</v>
      </c>
      <c r="R27" s="20" t="n">
        <v>0.80594237</v>
      </c>
      <c r="S27" s="18" t="n">
        <v>0</v>
      </c>
      <c r="T27" s="20" t="n">
        <v>0</v>
      </c>
      <c r="U27" s="18" t="n">
        <v>0</v>
      </c>
      <c r="V27" s="20" t="n">
        <v>0</v>
      </c>
      <c r="W27" s="18" t="n">
        <v>27.2664813</v>
      </c>
      <c r="X27" s="20" t="n">
        <v>2.45877172</v>
      </c>
    </row>
    <row r="28" spans="1:24">
      <c r="A28" s="15" t="s">
        <v>370</v>
      </c>
      <c r="B28" s="17" t="n">
        <v>3803</v>
      </c>
      <c r="C28" s="18">
        <f>(3393.0/B28*100)</f>
        <v/>
      </c>
      <c r="D28" s="19" t="n">
        <v>410</v>
      </c>
      <c r="E28" s="18" t="n">
        <v>34.76594123</v>
      </c>
      <c r="F28" s="20" t="n">
        <v>2.71873247</v>
      </c>
      <c r="G28" s="18" t="n">
        <v>41.82984171</v>
      </c>
      <c r="H28" s="20" t="n">
        <v>2.48290358</v>
      </c>
      <c r="I28" s="18" t="n">
        <v>0.3475473</v>
      </c>
      <c r="J28" s="20" t="n">
        <v>0.26887535</v>
      </c>
      <c r="K28" s="18" t="n">
        <v>0.8688539</v>
      </c>
      <c r="L28" s="20" t="n">
        <v>0.54187305</v>
      </c>
      <c r="M28" s="18" t="n">
        <v>0.14757154</v>
      </c>
      <c r="N28" s="20" t="n">
        <v>0.14801684</v>
      </c>
      <c r="O28" s="18" t="s">
        <v>349</v>
      </c>
      <c r="P28" s="20" t="s">
        <v>349</v>
      </c>
      <c r="Q28" s="18" t="n">
        <v>1.32084502</v>
      </c>
      <c r="R28" s="20" t="n">
        <v>0.53363731</v>
      </c>
      <c r="S28" s="18" t="n">
        <v>0</v>
      </c>
      <c r="T28" s="20" t="n">
        <v>0</v>
      </c>
      <c r="U28" s="18" t="n">
        <v>0</v>
      </c>
      <c r="V28" s="20" t="n">
        <v>0</v>
      </c>
      <c r="W28" s="18" t="n">
        <v>20.7193993</v>
      </c>
      <c r="X28" s="20" t="n">
        <v>2.63178581</v>
      </c>
    </row>
    <row r="29" spans="1:24">
      <c r="A29" s="15" t="s">
        <v>371</v>
      </c>
      <c r="B29" s="17" t="n">
        <v>2700</v>
      </c>
      <c r="C29" s="18">
        <f>(2389.0/B29*100)</f>
        <v/>
      </c>
      <c r="D29" s="19" t="n">
        <v>311</v>
      </c>
      <c r="E29" s="18" t="n">
        <v>59.4791947</v>
      </c>
      <c r="F29" s="20" t="n">
        <v>2.91116018</v>
      </c>
      <c r="G29" s="18" t="n">
        <v>16.8549601</v>
      </c>
      <c r="H29" s="20" t="n">
        <v>2.23473167</v>
      </c>
      <c r="I29" s="18" t="n">
        <v>0.27973998</v>
      </c>
      <c r="J29" s="20" t="n">
        <v>0.25463348</v>
      </c>
      <c r="K29" s="18" t="n">
        <v>6.47253552</v>
      </c>
      <c r="L29" s="20" t="n">
        <v>1.43259096</v>
      </c>
      <c r="M29" s="18" t="n">
        <v>2.23267825</v>
      </c>
      <c r="N29" s="20" t="n">
        <v>0.98599316</v>
      </c>
      <c r="O29" s="18" t="s">
        <v>349</v>
      </c>
      <c r="P29" s="20" t="s">
        <v>349</v>
      </c>
      <c r="Q29" s="18" t="n">
        <v>0.61112722</v>
      </c>
      <c r="R29" s="20" t="n">
        <v>0.45136522</v>
      </c>
      <c r="S29" s="18" t="n">
        <v>0.29381921</v>
      </c>
      <c r="T29" s="20" t="n">
        <v>0.31982754</v>
      </c>
      <c r="U29" s="18" t="n">
        <v>0</v>
      </c>
      <c r="V29" s="20" t="n">
        <v>0</v>
      </c>
      <c r="W29" s="18" t="n">
        <v>13.77594502</v>
      </c>
      <c r="X29" s="20" t="n">
        <v>2.04071456</v>
      </c>
    </row>
    <row r="30" spans="1:24">
      <c r="A30" s="15" t="s">
        <v>372</v>
      </c>
      <c r="B30" s="17" t="n">
        <v>2257</v>
      </c>
      <c r="C30" s="18">
        <f>(1975.0/B30*100)</f>
        <v/>
      </c>
      <c r="D30" s="19" t="n">
        <v>282</v>
      </c>
      <c r="E30" s="18" t="n">
        <v>39.87860208</v>
      </c>
      <c r="F30" s="20" t="n">
        <v>3.31432727</v>
      </c>
      <c r="G30" s="18" t="n">
        <v>19.64377811</v>
      </c>
      <c r="H30" s="20" t="n">
        <v>2.52611174</v>
      </c>
      <c r="I30" s="18" t="n">
        <v>0.66284031</v>
      </c>
      <c r="J30" s="20" t="n">
        <v>0.46555577</v>
      </c>
      <c r="K30" s="18" t="n">
        <v>2.51915692</v>
      </c>
      <c r="L30" s="20" t="n">
        <v>0.87325643</v>
      </c>
      <c r="M30" s="18" t="n">
        <v>2.1235719</v>
      </c>
      <c r="N30" s="20" t="n">
        <v>0.91853654</v>
      </c>
      <c r="O30" s="18" t="s">
        <v>349</v>
      </c>
      <c r="P30" s="20" t="s">
        <v>349</v>
      </c>
      <c r="Q30" s="18" t="n">
        <v>4.15327621</v>
      </c>
      <c r="R30" s="20" t="n">
        <v>1.06594437</v>
      </c>
      <c r="S30" s="18" t="n">
        <v>0</v>
      </c>
      <c r="T30" s="20" t="n">
        <v>0</v>
      </c>
      <c r="U30" s="18" t="n">
        <v>0</v>
      </c>
      <c r="V30" s="20" t="n">
        <v>0</v>
      </c>
      <c r="W30" s="18" t="n">
        <v>31.01877448</v>
      </c>
      <c r="X30" s="20" t="n">
        <v>2.89664691</v>
      </c>
    </row>
    <row r="31" spans="1:24">
      <c r="A31" s="15" t="s">
        <v>373</v>
      </c>
      <c r="B31" s="17" t="n">
        <v>2706</v>
      </c>
      <c r="C31" s="18">
        <f>(2382.0/B31*100)</f>
        <v/>
      </c>
      <c r="D31" s="19" t="n">
        <v>324</v>
      </c>
      <c r="E31" s="18" t="n">
        <v>48.20011251</v>
      </c>
      <c r="F31" s="20" t="n">
        <v>2.71464265</v>
      </c>
      <c r="G31" s="18" t="n">
        <v>18.11960445</v>
      </c>
      <c r="H31" s="20" t="n">
        <v>2.00341399</v>
      </c>
      <c r="I31" s="18" t="n">
        <v>0.58730933</v>
      </c>
      <c r="J31" s="20" t="n">
        <v>0.41541994</v>
      </c>
      <c r="K31" s="18" t="n">
        <v>3.67777354</v>
      </c>
      <c r="L31" s="20" t="n">
        <v>0.97562773</v>
      </c>
      <c r="M31" s="18" t="n">
        <v>1.22258233</v>
      </c>
      <c r="N31" s="20" t="n">
        <v>0.58928602</v>
      </c>
      <c r="O31" s="18" t="s">
        <v>349</v>
      </c>
      <c r="P31" s="20" t="s">
        <v>349</v>
      </c>
      <c r="Q31" s="18" t="n">
        <v>4.08713815</v>
      </c>
      <c r="R31" s="20" t="n">
        <v>1.15474824</v>
      </c>
      <c r="S31" s="18" t="n">
        <v>0</v>
      </c>
      <c r="T31" s="20" t="n">
        <v>0</v>
      </c>
      <c r="U31" s="18" t="n">
        <v>0</v>
      </c>
      <c r="V31" s="20" t="n">
        <v>0</v>
      </c>
      <c r="W31" s="18" t="n">
        <v>24.1054797</v>
      </c>
      <c r="X31" s="20" t="n">
        <v>2.52407032</v>
      </c>
    </row>
    <row r="32" spans="1:24">
      <c r="A32" s="15" t="s">
        <v>374</v>
      </c>
      <c r="B32" s="17" t="n">
        <v>2209</v>
      </c>
      <c r="C32" s="18">
        <f>(1860.0/B32*100)</f>
        <v/>
      </c>
      <c r="D32" s="19" t="n">
        <v>349</v>
      </c>
      <c r="E32" s="18" t="n">
        <v>34.4009897</v>
      </c>
      <c r="F32" s="20" t="n">
        <v>2.29286485</v>
      </c>
      <c r="G32" s="18" t="n">
        <v>26.42792283</v>
      </c>
      <c r="H32" s="20" t="n">
        <v>2.29478742</v>
      </c>
      <c r="I32" s="18" t="n">
        <v>2.92871851</v>
      </c>
      <c r="J32" s="20" t="n">
        <v>0.88351761</v>
      </c>
      <c r="K32" s="18" t="n">
        <v>12.49798844</v>
      </c>
      <c r="L32" s="20" t="n">
        <v>1.82843704</v>
      </c>
      <c r="M32" s="18" t="n">
        <v>4.62383087</v>
      </c>
      <c r="N32" s="20" t="n">
        <v>1.12272287</v>
      </c>
      <c r="O32" s="18" t="s">
        <v>349</v>
      </c>
      <c r="P32" s="20" t="s">
        <v>349</v>
      </c>
      <c r="Q32" s="18" t="n">
        <v>1.09412179</v>
      </c>
      <c r="R32" s="20" t="n">
        <v>0.54626336</v>
      </c>
      <c r="S32" s="18" t="n">
        <v>0</v>
      </c>
      <c r="T32" s="20" t="n">
        <v>0</v>
      </c>
      <c r="U32" s="18" t="n">
        <v>0</v>
      </c>
      <c r="V32" s="20" t="n">
        <v>0</v>
      </c>
      <c r="W32" s="18" t="n">
        <v>18.02642787</v>
      </c>
      <c r="X32" s="20" t="n">
        <v>2.07994471</v>
      </c>
    </row>
    <row r="33" spans="1:24">
      <c r="A33" s="15" t="s">
        <v>375</v>
      </c>
      <c r="B33" s="17" t="n">
        <v>3651</v>
      </c>
      <c r="C33" s="18">
        <f>(3229.0/B33*100)</f>
        <v/>
      </c>
      <c r="D33" s="19" t="n">
        <v>422</v>
      </c>
      <c r="E33" s="18" t="n">
        <v>33.06945515</v>
      </c>
      <c r="F33" s="20" t="n">
        <v>2.66645636</v>
      </c>
      <c r="G33" s="18" t="n">
        <v>20.11137173</v>
      </c>
      <c r="H33" s="20" t="n">
        <v>2.4480576</v>
      </c>
      <c r="I33" s="18" t="n">
        <v>1.95320675</v>
      </c>
      <c r="J33" s="20" t="n">
        <v>0.92819001</v>
      </c>
      <c r="K33" s="18" t="n">
        <v>13.73838908</v>
      </c>
      <c r="L33" s="20" t="n">
        <v>1.82913719</v>
      </c>
      <c r="M33" s="18" t="n">
        <v>3.19549904</v>
      </c>
      <c r="N33" s="20" t="n">
        <v>0.98849058</v>
      </c>
      <c r="O33" s="18" t="s">
        <v>349</v>
      </c>
      <c r="P33" s="20" t="s">
        <v>349</v>
      </c>
      <c r="Q33" s="18" t="n">
        <v>3.32371778</v>
      </c>
      <c r="R33" s="20" t="n">
        <v>0.88741039</v>
      </c>
      <c r="S33" s="18" t="n">
        <v>0</v>
      </c>
      <c r="T33" s="20" t="n">
        <v>0</v>
      </c>
      <c r="U33" s="18" t="n">
        <v>0</v>
      </c>
      <c r="V33" s="20" t="n">
        <v>0</v>
      </c>
      <c r="W33" s="18" t="n">
        <v>24.60836047</v>
      </c>
      <c r="X33" s="20" t="n">
        <v>2.19483328</v>
      </c>
    </row>
    <row r="34" spans="1:24">
      <c r="A34" s="15" t="s">
        <v>376</v>
      </c>
      <c r="B34" s="17" t="n">
        <v>3035</v>
      </c>
      <c r="C34" s="18">
        <f>(2684.0/B34*100)</f>
        <v/>
      </c>
      <c r="D34" s="19" t="n">
        <v>351</v>
      </c>
      <c r="E34" s="18" t="n">
        <v>41.16164914</v>
      </c>
      <c r="F34" s="20" t="n">
        <v>2.99660092</v>
      </c>
      <c r="G34" s="18" t="n">
        <v>19.27624101</v>
      </c>
      <c r="H34" s="20" t="n">
        <v>2.38339291</v>
      </c>
      <c r="I34" s="18" t="n">
        <v>4.413088</v>
      </c>
      <c r="J34" s="20" t="n">
        <v>1.43273285</v>
      </c>
      <c r="K34" s="18" t="n">
        <v>13.92447599</v>
      </c>
      <c r="L34" s="20" t="n">
        <v>2.05187436</v>
      </c>
      <c r="M34" s="18" t="n">
        <v>3.27022354</v>
      </c>
      <c r="N34" s="20" t="n">
        <v>1.01871609</v>
      </c>
      <c r="O34" s="18" t="s">
        <v>349</v>
      </c>
      <c r="P34" s="20" t="s">
        <v>349</v>
      </c>
      <c r="Q34" s="18" t="n">
        <v>1.45829078</v>
      </c>
      <c r="R34" s="20" t="n">
        <v>0.57641989</v>
      </c>
      <c r="S34" s="18" t="n">
        <v>0</v>
      </c>
      <c r="T34" s="20" t="n">
        <v>0</v>
      </c>
      <c r="U34" s="18" t="n">
        <v>0</v>
      </c>
      <c r="V34" s="20" t="n">
        <v>0</v>
      </c>
      <c r="W34" s="18" t="n">
        <v>16.49603154</v>
      </c>
      <c r="X34" s="20" t="n">
        <v>1.90006442</v>
      </c>
    </row>
    <row r="35" spans="1:24">
      <c r="A35" s="15" t="s">
        <v>377</v>
      </c>
      <c r="B35" s="17" t="n">
        <v>2901</v>
      </c>
      <c r="C35" s="18">
        <f>(2549.0/B35*100)</f>
        <v/>
      </c>
      <c r="D35" s="19" t="n">
        <v>352</v>
      </c>
      <c r="E35" s="18" t="n">
        <v>38.26868558</v>
      </c>
      <c r="F35" s="20" t="n">
        <v>3.43906171</v>
      </c>
      <c r="G35" s="18" t="n">
        <v>18.072972</v>
      </c>
      <c r="H35" s="20" t="n">
        <v>2.42504218</v>
      </c>
      <c r="I35" s="18" t="n">
        <v>3.87751535</v>
      </c>
      <c r="J35" s="20" t="n">
        <v>1.01578944</v>
      </c>
      <c r="K35" s="18" t="n">
        <v>10.01892947</v>
      </c>
      <c r="L35" s="20" t="n">
        <v>2.12416543</v>
      </c>
      <c r="M35" s="18" t="n">
        <v>8.47778787</v>
      </c>
      <c r="N35" s="20" t="n">
        <v>1.81175477</v>
      </c>
      <c r="O35" s="18" t="s">
        <v>349</v>
      </c>
      <c r="P35" s="20" t="s">
        <v>349</v>
      </c>
      <c r="Q35" s="18" t="n">
        <v>1.63832107</v>
      </c>
      <c r="R35" s="20" t="n">
        <v>0.81753199</v>
      </c>
      <c r="S35" s="18" t="n">
        <v>0</v>
      </c>
      <c r="T35" s="20" t="n">
        <v>0</v>
      </c>
      <c r="U35" s="18" t="n">
        <v>0</v>
      </c>
      <c r="V35" s="20" t="n">
        <v>0</v>
      </c>
      <c r="W35" s="18" t="n">
        <v>19.64578867</v>
      </c>
      <c r="X35" s="20" t="n">
        <v>2.3788877</v>
      </c>
    </row>
    <row r="36" spans="1:24">
      <c r="A36" s="15" t="s">
        <v>378</v>
      </c>
      <c r="B36" s="17" t="n">
        <v>3404</v>
      </c>
      <c r="C36" s="18">
        <f>(3022.0/B36*100)</f>
        <v/>
      </c>
      <c r="D36" s="19" t="n">
        <v>382</v>
      </c>
      <c r="E36" s="18" t="n">
        <v>35.36402281</v>
      </c>
      <c r="F36" s="20" t="n">
        <v>2.47149607</v>
      </c>
      <c r="G36" s="18" t="n">
        <v>20.78600079</v>
      </c>
      <c r="H36" s="20" t="n">
        <v>2.11507294</v>
      </c>
      <c r="I36" s="18" t="n">
        <v>0.13734927</v>
      </c>
      <c r="J36" s="20" t="n">
        <v>0.1362948</v>
      </c>
      <c r="K36" s="18" t="n">
        <v>3.74684527</v>
      </c>
      <c r="L36" s="20" t="n">
        <v>0.95837225</v>
      </c>
      <c r="M36" s="18" t="n">
        <v>2.97359698</v>
      </c>
      <c r="N36" s="20" t="n">
        <v>0.87507259</v>
      </c>
      <c r="O36" s="18" t="s">
        <v>349</v>
      </c>
      <c r="P36" s="20" t="s">
        <v>349</v>
      </c>
      <c r="Q36" s="18" t="n">
        <v>3.5655232</v>
      </c>
      <c r="R36" s="20" t="n">
        <v>1.06701104</v>
      </c>
      <c r="S36" s="18" t="n">
        <v>0</v>
      </c>
      <c r="T36" s="20" t="n">
        <v>0</v>
      </c>
      <c r="U36" s="18" t="n">
        <v>0</v>
      </c>
      <c r="V36" s="20" t="n">
        <v>0</v>
      </c>
      <c r="W36" s="18" t="n">
        <v>33.42666168</v>
      </c>
      <c r="X36" s="20" t="n">
        <v>2.49502712</v>
      </c>
    </row>
    <row r="37" spans="1:24">
      <c r="A37" s="15" t="s">
        <v>379</v>
      </c>
      <c r="B37" s="17" t="n">
        <v>2731</v>
      </c>
      <c r="C37" s="18">
        <f>(2432.0/B37*100)</f>
        <v/>
      </c>
      <c r="D37" s="19" t="n">
        <v>299</v>
      </c>
      <c r="E37" s="18" t="n">
        <v>45.28967612</v>
      </c>
      <c r="F37" s="20" t="n">
        <v>3.07599892</v>
      </c>
      <c r="G37" s="18" t="n">
        <v>17.73149427</v>
      </c>
      <c r="H37" s="20" t="n">
        <v>2.30731165</v>
      </c>
      <c r="I37" s="18" t="n">
        <v>1.41622405</v>
      </c>
      <c r="J37" s="20" t="n">
        <v>0.73321358</v>
      </c>
      <c r="K37" s="18" t="n">
        <v>4.91443101</v>
      </c>
      <c r="L37" s="20" t="n">
        <v>1.32415219</v>
      </c>
      <c r="M37" s="18" t="n">
        <v>2.1442316</v>
      </c>
      <c r="N37" s="20" t="n">
        <v>1.47457908</v>
      </c>
      <c r="O37" s="18" t="s">
        <v>349</v>
      </c>
      <c r="P37" s="20" t="s">
        <v>349</v>
      </c>
      <c r="Q37" s="18" t="n">
        <v>5.33592715</v>
      </c>
      <c r="R37" s="20" t="n">
        <v>1.36984163</v>
      </c>
      <c r="S37" s="18" t="n">
        <v>0</v>
      </c>
      <c r="T37" s="20" t="n">
        <v>0</v>
      </c>
      <c r="U37" s="18" t="n">
        <v>0</v>
      </c>
      <c r="V37" s="20" t="n">
        <v>0</v>
      </c>
      <c r="W37" s="18" t="n">
        <v>23.1680158</v>
      </c>
      <c r="X37" s="20" t="n">
        <v>2.69262392</v>
      </c>
    </row>
    <row r="38" spans="1:24">
      <c r="A38" s="15" t="s">
        <v>380</v>
      </c>
      <c r="B38" s="17" t="n">
        <v>2807</v>
      </c>
      <c r="C38" s="18">
        <f>(2349.0/B38*100)</f>
        <v/>
      </c>
      <c r="D38" s="19" t="n">
        <v>458</v>
      </c>
      <c r="E38" s="18" t="n">
        <v>46.14461888</v>
      </c>
      <c r="F38" s="20" t="n">
        <v>2.69723574</v>
      </c>
      <c r="G38" s="18" t="n">
        <v>20.72500735</v>
      </c>
      <c r="H38" s="20" t="n">
        <v>2.52889301</v>
      </c>
      <c r="I38" s="18" t="n">
        <v>0.75052143</v>
      </c>
      <c r="J38" s="20" t="n">
        <v>0.44939975</v>
      </c>
      <c r="K38" s="18" t="n">
        <v>8.07572163</v>
      </c>
      <c r="L38" s="20" t="n">
        <v>1.18135611</v>
      </c>
      <c r="M38" s="18" t="n">
        <v>2.4544657</v>
      </c>
      <c r="N38" s="20" t="n">
        <v>0.53057042</v>
      </c>
      <c r="O38" s="18" t="s">
        <v>349</v>
      </c>
      <c r="P38" s="20" t="s">
        <v>349</v>
      </c>
      <c r="Q38" s="18" t="n">
        <v>4.73395428</v>
      </c>
      <c r="R38" s="20" t="n">
        <v>1.1111129</v>
      </c>
      <c r="S38" s="18" t="n">
        <v>0</v>
      </c>
      <c r="T38" s="20" t="n">
        <v>0</v>
      </c>
      <c r="U38" s="18" t="n">
        <v>0</v>
      </c>
      <c r="V38" s="20" t="n">
        <v>0</v>
      </c>
      <c r="W38" s="18" t="n">
        <v>17.11571073</v>
      </c>
      <c r="X38" s="20" t="n">
        <v>1.65389968</v>
      </c>
    </row>
    <row r="39" spans="1:24">
      <c r="A39" s="15" t="s">
        <v>381</v>
      </c>
      <c r="B39" s="17" t="n">
        <v>2938</v>
      </c>
      <c r="C39" s="18">
        <f>(2625.0/B39*100)</f>
        <v/>
      </c>
      <c r="D39" s="19" t="n">
        <v>313</v>
      </c>
      <c r="E39" s="18" t="n">
        <v>29.30086431</v>
      </c>
      <c r="F39" s="20" t="n">
        <v>2.71752504</v>
      </c>
      <c r="G39" s="18" t="n">
        <v>20.4946672</v>
      </c>
      <c r="H39" s="20" t="n">
        <v>2.33622112</v>
      </c>
      <c r="I39" s="18" t="n">
        <v>7.365929</v>
      </c>
      <c r="J39" s="20" t="n">
        <v>2.12454277</v>
      </c>
      <c r="K39" s="18" t="n">
        <v>4.93850114</v>
      </c>
      <c r="L39" s="20" t="n">
        <v>1.26150328</v>
      </c>
      <c r="M39" s="18" t="n">
        <v>15.83665249</v>
      </c>
      <c r="N39" s="20" t="n">
        <v>2.3088037</v>
      </c>
      <c r="O39" s="18" t="s">
        <v>349</v>
      </c>
      <c r="P39" s="20" t="s">
        <v>349</v>
      </c>
      <c r="Q39" s="18" t="n">
        <v>2.69234128</v>
      </c>
      <c r="R39" s="20" t="n">
        <v>1.14333763</v>
      </c>
      <c r="S39" s="18" t="n">
        <v>0</v>
      </c>
      <c r="T39" s="20" t="n">
        <v>0</v>
      </c>
      <c r="U39" s="18" t="n">
        <v>0</v>
      </c>
      <c r="V39" s="20" t="n">
        <v>0</v>
      </c>
      <c r="W39" s="18" t="n">
        <v>19.37104457</v>
      </c>
      <c r="X39" s="20" t="n">
        <v>2.32904502</v>
      </c>
    </row>
    <row r="40" spans="1:24">
      <c r="A40" s="15" t="s">
        <v>382</v>
      </c>
      <c r="B40" s="17" t="n">
        <v>6922</v>
      </c>
      <c r="C40" s="18">
        <f>(6079.0/B40*100)</f>
        <v/>
      </c>
      <c r="D40" s="19" t="n">
        <v>843</v>
      </c>
      <c r="E40" s="18" t="n">
        <v>51.93942315</v>
      </c>
      <c r="F40" s="20" t="n">
        <v>2.5380651</v>
      </c>
      <c r="G40" s="18" t="n">
        <v>15.10271925</v>
      </c>
      <c r="H40" s="20" t="n">
        <v>1.67920256</v>
      </c>
      <c r="I40" s="18" t="n">
        <v>0.24140776</v>
      </c>
      <c r="J40" s="20" t="n">
        <v>0.20041919</v>
      </c>
      <c r="K40" s="18" t="n">
        <v>0.95350495</v>
      </c>
      <c r="L40" s="20" t="n">
        <v>0.52152886</v>
      </c>
      <c r="M40" s="18" t="n">
        <v>1.77242492</v>
      </c>
      <c r="N40" s="20" t="n">
        <v>0.85096292</v>
      </c>
      <c r="O40" s="18" t="s">
        <v>349</v>
      </c>
      <c r="P40" s="20" t="s">
        <v>349</v>
      </c>
      <c r="Q40" s="18" t="n">
        <v>1.90623005</v>
      </c>
      <c r="R40" s="20" t="n">
        <v>0.56035625</v>
      </c>
      <c r="S40" s="18" t="n">
        <v>0</v>
      </c>
      <c r="T40" s="20" t="n">
        <v>0</v>
      </c>
      <c r="U40" s="18" t="n">
        <v>0</v>
      </c>
      <c r="V40" s="20" t="n">
        <v>0</v>
      </c>
      <c r="W40" s="18" t="n">
        <v>28.08428992</v>
      </c>
      <c r="X40" s="20" t="n">
        <v>2.33632193</v>
      </c>
    </row>
    <row r="41" spans="1:24">
      <c r="A41" s="15" t="s">
        <v>383</v>
      </c>
      <c r="B41" s="17" t="n">
        <v>2854</v>
      </c>
      <c r="C41" s="18">
        <f>(2521.0/B41*100)</f>
        <v/>
      </c>
      <c r="D41" s="19" t="n">
        <v>333</v>
      </c>
      <c r="E41" s="18" t="n">
        <v>50.93850914</v>
      </c>
      <c r="F41" s="20" t="n">
        <v>2.69697494</v>
      </c>
      <c r="G41" s="18" t="n">
        <v>28.46987227</v>
      </c>
      <c r="H41" s="20" t="n">
        <v>2.33195305</v>
      </c>
      <c r="I41" s="18" t="n">
        <v>1.98865426</v>
      </c>
      <c r="J41" s="20" t="n">
        <v>0.86662288</v>
      </c>
      <c r="K41" s="18" t="n">
        <v>2.60909631</v>
      </c>
      <c r="L41" s="20" t="n">
        <v>0.9161701</v>
      </c>
      <c r="M41" s="18" t="n">
        <v>2.35542051</v>
      </c>
      <c r="N41" s="20" t="n">
        <v>0.85435817</v>
      </c>
      <c r="O41" s="18" t="s">
        <v>349</v>
      </c>
      <c r="P41" s="20" t="s">
        <v>349</v>
      </c>
      <c r="Q41" s="18" t="n">
        <v>0.95089396</v>
      </c>
      <c r="R41" s="20" t="n">
        <v>0.49337217</v>
      </c>
      <c r="S41" s="18" t="n">
        <v>0</v>
      </c>
      <c r="T41" s="20" t="n">
        <v>0</v>
      </c>
      <c r="U41" s="18" t="n">
        <v>0</v>
      </c>
      <c r="V41" s="20" t="n">
        <v>0</v>
      </c>
      <c r="W41" s="18" t="n">
        <v>12.68755354</v>
      </c>
      <c r="X41" s="20" t="n">
        <v>1.80737616</v>
      </c>
    </row>
    <row r="42" spans="1:24">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c r="U44" s="18" t="s">
        <v>349</v>
      </c>
      <c r="V44" s="20" t="s">
        <v>349</v>
      </c>
      <c r="W44" s="18" t="s">
        <v>349</v>
      </c>
      <c r="X44" s="20" t="s">
        <v>349</v>
      </c>
    </row>
    <row r="45" spans="1:24">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c r="W45" s="18" t="s">
        <v>349</v>
      </c>
      <c r="X45" s="20" t="s">
        <v>349</v>
      </c>
    </row>
    <row r="46" spans="1:24">
      <c r="A46" s="15" t="s">
        <v>388</v>
      </c>
      <c r="B46" s="17" t="n">
        <v>12073</v>
      </c>
      <c r="C46" s="18">
        <f>(10934.0/B46*100)</f>
        <v/>
      </c>
      <c r="D46" s="19" t="n">
        <v>1139</v>
      </c>
      <c r="E46" s="18" t="n">
        <v>42.84028168</v>
      </c>
      <c r="F46" s="20" t="n">
        <v>1.81400665</v>
      </c>
      <c r="G46" s="18" t="n">
        <v>26.51998973</v>
      </c>
      <c r="H46" s="20" t="n">
        <v>1.88243766</v>
      </c>
      <c r="I46" s="18" t="n">
        <v>0</v>
      </c>
      <c r="J46" s="20" t="n">
        <v>0</v>
      </c>
      <c r="K46" s="18" t="n">
        <v>0.46317254</v>
      </c>
      <c r="L46" s="20" t="n">
        <v>0.23588727</v>
      </c>
      <c r="M46" s="18" t="n">
        <v>0.14031563</v>
      </c>
      <c r="N46" s="20" t="n">
        <v>0.14062038</v>
      </c>
      <c r="O46" s="18" t="s">
        <v>349</v>
      </c>
      <c r="P46" s="20" t="s">
        <v>349</v>
      </c>
      <c r="Q46" s="18" t="n">
        <v>9.62774681</v>
      </c>
      <c r="R46" s="20" t="n">
        <v>1.13677153</v>
      </c>
      <c r="S46" s="18" t="n">
        <v>0.24654003</v>
      </c>
      <c r="T46" s="20" t="n">
        <v>0.21174801</v>
      </c>
      <c r="U46" s="18" t="n">
        <v>0</v>
      </c>
      <c r="V46" s="20" t="n">
        <v>0</v>
      </c>
      <c r="W46" s="18" t="n">
        <v>20.16195358</v>
      </c>
      <c r="X46" s="20" t="n">
        <v>1.42510832</v>
      </c>
    </row>
    <row r="47" spans="1:24">
      <c r="A47" s="15" t="s">
        <v>389</v>
      </c>
      <c r="B47" s="17" t="n">
        <v>2823</v>
      </c>
      <c r="C47" s="18">
        <f>(2494.0/B47*100)</f>
        <v/>
      </c>
      <c r="D47" s="19" t="n">
        <v>329</v>
      </c>
      <c r="E47" s="18" t="n">
        <v>28.8762419</v>
      </c>
      <c r="F47" s="20" t="n">
        <v>2.44932727</v>
      </c>
      <c r="G47" s="18" t="n">
        <v>16.62922058</v>
      </c>
      <c r="H47" s="20" t="n">
        <v>2.25293589</v>
      </c>
      <c r="I47" s="18" t="n">
        <v>1.83011743</v>
      </c>
      <c r="J47" s="20" t="n">
        <v>0.72835625</v>
      </c>
      <c r="K47" s="18" t="n">
        <v>8.02983695</v>
      </c>
      <c r="L47" s="20" t="n">
        <v>1.68931909</v>
      </c>
      <c r="M47" s="18" t="n">
        <v>5.46219565</v>
      </c>
      <c r="N47" s="20" t="n">
        <v>1.388289</v>
      </c>
      <c r="O47" s="18" t="s">
        <v>349</v>
      </c>
      <c r="P47" s="20" t="s">
        <v>349</v>
      </c>
      <c r="Q47" s="18" t="n">
        <v>3.34505909</v>
      </c>
      <c r="R47" s="20" t="n">
        <v>1.01720069</v>
      </c>
      <c r="S47" s="18" t="n">
        <v>0</v>
      </c>
      <c r="T47" s="20" t="n">
        <v>0</v>
      </c>
      <c r="U47" s="18" t="n">
        <v>0</v>
      </c>
      <c r="V47" s="20" t="n">
        <v>0</v>
      </c>
      <c r="W47" s="18" t="n">
        <v>35.8273284</v>
      </c>
      <c r="X47" s="20" t="n">
        <v>2.60546962</v>
      </c>
    </row>
    <row r="48" spans="1:24">
      <c r="A48" s="15" t="s">
        <v>390</v>
      </c>
      <c r="B48" s="17" t="n">
        <v>4682</v>
      </c>
      <c r="C48" s="18">
        <f>(4105.0/B48*100)</f>
        <v/>
      </c>
      <c r="D48" s="19" t="n">
        <v>577</v>
      </c>
      <c r="E48" s="18" t="n">
        <v>17.18483697</v>
      </c>
      <c r="F48" s="20" t="n">
        <v>1.75259942</v>
      </c>
      <c r="G48" s="18" t="n">
        <v>14.0593597</v>
      </c>
      <c r="H48" s="20" t="n">
        <v>2.04623082</v>
      </c>
      <c r="I48" s="18" t="n">
        <v>2.88519946</v>
      </c>
      <c r="J48" s="20" t="n">
        <v>0.93553389</v>
      </c>
      <c r="K48" s="18" t="n">
        <v>6.82907728</v>
      </c>
      <c r="L48" s="20" t="n">
        <v>1.40003729</v>
      </c>
      <c r="M48" s="18" t="n">
        <v>48.52204137</v>
      </c>
      <c r="N48" s="20" t="n">
        <v>2.44953304</v>
      </c>
      <c r="O48" s="18" t="s">
        <v>349</v>
      </c>
      <c r="P48" s="20" t="s">
        <v>349</v>
      </c>
      <c r="Q48" s="18" t="n">
        <v>0</v>
      </c>
      <c r="R48" s="20" t="n">
        <v>0</v>
      </c>
      <c r="S48" s="18" t="n">
        <v>0.13226267</v>
      </c>
      <c r="T48" s="20" t="n">
        <v>0.13232395</v>
      </c>
      <c r="U48" s="18" t="n">
        <v>0</v>
      </c>
      <c r="V48" s="20" t="n">
        <v>0</v>
      </c>
      <c r="W48" s="18" t="n">
        <v>10.38722254</v>
      </c>
      <c r="X48" s="20" t="n">
        <v>1.92564198</v>
      </c>
    </row>
    <row r="49" spans="1:24">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c r="W49" s="18" t="s">
        <v>349</v>
      </c>
      <c r="X49" s="20" t="s">
        <v>349</v>
      </c>
    </row>
    <row r="50" spans="1:24">
      <c r="A50" s="15" t="s">
        <v>392</v>
      </c>
      <c r="B50" s="17" t="n">
        <v>6158</v>
      </c>
      <c r="C50" s="18">
        <f>(5429.0/B50*100)</f>
        <v/>
      </c>
      <c r="D50" s="19" t="n">
        <v>729</v>
      </c>
      <c r="E50" s="18" t="n">
        <v>47.43987306</v>
      </c>
      <c r="F50" s="20" t="n">
        <v>2.08584693</v>
      </c>
      <c r="G50" s="18" t="n">
        <v>33.83227289</v>
      </c>
      <c r="H50" s="20" t="n">
        <v>1.77104631</v>
      </c>
      <c r="I50" s="18" t="n">
        <v>0.19885259</v>
      </c>
      <c r="J50" s="20" t="n">
        <v>0.10862806</v>
      </c>
      <c r="K50" s="18" t="n">
        <v>1.23123941</v>
      </c>
      <c r="L50" s="20" t="n">
        <v>0.5264822</v>
      </c>
      <c r="M50" s="18" t="n">
        <v>0</v>
      </c>
      <c r="N50" s="20" t="n">
        <v>0</v>
      </c>
      <c r="O50" s="18" t="s">
        <v>349</v>
      </c>
      <c r="P50" s="20" t="s">
        <v>349</v>
      </c>
      <c r="Q50" s="18" t="n">
        <v>3.3003052</v>
      </c>
      <c r="R50" s="20" t="n">
        <v>0.87588269</v>
      </c>
      <c r="S50" s="18" t="n">
        <v>2.34541927</v>
      </c>
      <c r="T50" s="20" t="n">
        <v>0.6052136</v>
      </c>
      <c r="U50" s="18" t="n">
        <v>0</v>
      </c>
      <c r="V50" s="20" t="n">
        <v>0</v>
      </c>
      <c r="W50" s="18" t="n">
        <v>11.65203759</v>
      </c>
      <c r="X50" s="20" t="n">
        <v>1.60194549</v>
      </c>
    </row>
    <row r="51" spans="1:24">
      <c r="A51" s="15" t="s">
        <v>393</v>
      </c>
      <c r="B51" s="17" t="n">
        <v>3494</v>
      </c>
      <c r="C51" s="18">
        <f>(3116.0/B51*100)</f>
        <v/>
      </c>
      <c r="D51" s="19" t="n">
        <v>378</v>
      </c>
      <c r="E51" s="18" t="n">
        <v>49.33603474</v>
      </c>
      <c r="F51" s="20" t="n">
        <v>3.08778653</v>
      </c>
      <c r="G51" s="18" t="n">
        <v>28.13571639</v>
      </c>
      <c r="H51" s="20" t="n">
        <v>2.77673488</v>
      </c>
      <c r="I51" s="18" t="n">
        <v>0.9077640300000001</v>
      </c>
      <c r="J51" s="20" t="n">
        <v>0.24648562</v>
      </c>
      <c r="K51" s="18" t="n">
        <v>0.25605182</v>
      </c>
      <c r="L51" s="20" t="n">
        <v>0.25701581</v>
      </c>
      <c r="M51" s="18" t="n">
        <v>0.05824267</v>
      </c>
      <c r="N51" s="20" t="n">
        <v>0.05771547</v>
      </c>
      <c r="O51" s="18" t="s">
        <v>349</v>
      </c>
      <c r="P51" s="20" t="s">
        <v>349</v>
      </c>
      <c r="Q51" s="18" t="n">
        <v>3.53001166</v>
      </c>
      <c r="R51" s="20" t="n">
        <v>1.20699122</v>
      </c>
      <c r="S51" s="18" t="n">
        <v>0.04389903</v>
      </c>
      <c r="T51" s="20" t="n">
        <v>0.04419066</v>
      </c>
      <c r="U51" s="18" t="n">
        <v>0</v>
      </c>
      <c r="V51" s="20" t="n">
        <v>0</v>
      </c>
      <c r="W51" s="18" t="n">
        <v>17.73227966</v>
      </c>
      <c r="X51" s="20" t="n">
        <v>2.39814111</v>
      </c>
    </row>
    <row r="52" spans="1:24">
      <c r="A52" s="15" t="s">
        <v>394</v>
      </c>
      <c r="B52" s="17" t="n">
        <v>3013</v>
      </c>
      <c r="C52" s="18">
        <f>(2648.0/B52*100)</f>
        <v/>
      </c>
      <c r="D52" s="19" t="n">
        <v>365</v>
      </c>
      <c r="E52" s="18" t="n">
        <v>40.11808817</v>
      </c>
      <c r="F52" s="20" t="n">
        <v>2.45067149</v>
      </c>
      <c r="G52" s="18" t="n">
        <v>20.27641308</v>
      </c>
      <c r="H52" s="20" t="n">
        <v>1.9058766</v>
      </c>
      <c r="I52" s="18" t="n">
        <v>0.25302763</v>
      </c>
      <c r="J52" s="20" t="n">
        <v>0.25283038</v>
      </c>
      <c r="K52" s="18" t="n">
        <v>8.45832001</v>
      </c>
      <c r="L52" s="20" t="n">
        <v>1.47150181</v>
      </c>
      <c r="M52" s="18" t="n">
        <v>1.76715551</v>
      </c>
      <c r="N52" s="20" t="n">
        <v>0.74394399</v>
      </c>
      <c r="O52" s="18" t="s">
        <v>349</v>
      </c>
      <c r="P52" s="20" t="s">
        <v>349</v>
      </c>
      <c r="Q52" s="18" t="n">
        <v>2.4435567</v>
      </c>
      <c r="R52" s="20" t="n">
        <v>0.76252566</v>
      </c>
      <c r="S52" s="18" t="n">
        <v>0.25830691</v>
      </c>
      <c r="T52" s="20" t="n">
        <v>0.3660523</v>
      </c>
      <c r="U52" s="18" t="n">
        <v>0</v>
      </c>
      <c r="V52" s="20" t="n">
        <v>0</v>
      </c>
      <c r="W52" s="18" t="n">
        <v>26.42513199</v>
      </c>
      <c r="X52" s="20" t="n">
        <v>2.2003642</v>
      </c>
    </row>
    <row r="53" spans="1:24">
      <c r="A53" s="15" t="s">
        <v>395</v>
      </c>
      <c r="B53" s="17" t="n">
        <v>2760</v>
      </c>
      <c r="C53" s="18">
        <f>(2424.0/B53*100)</f>
        <v/>
      </c>
      <c r="D53" s="19" t="n">
        <v>336</v>
      </c>
      <c r="E53" s="18" t="n">
        <v>44.69396849</v>
      </c>
      <c r="F53" s="20" t="n">
        <v>2.47144533</v>
      </c>
      <c r="G53" s="18" t="n">
        <v>18.74336522</v>
      </c>
      <c r="H53" s="20" t="n">
        <v>2.76704681</v>
      </c>
      <c r="I53" s="18" t="n">
        <v>0.34570287</v>
      </c>
      <c r="J53" s="20" t="n">
        <v>0.34775632</v>
      </c>
      <c r="K53" s="18" t="n">
        <v>5.49509801</v>
      </c>
      <c r="L53" s="20" t="n">
        <v>1.27352954</v>
      </c>
      <c r="M53" s="18" t="n">
        <v>1.31272842</v>
      </c>
      <c r="N53" s="20" t="n">
        <v>0.58682373</v>
      </c>
      <c r="O53" s="18" t="s">
        <v>349</v>
      </c>
      <c r="P53" s="20" t="s">
        <v>349</v>
      </c>
      <c r="Q53" s="18" t="n">
        <v>3.26457317</v>
      </c>
      <c r="R53" s="20" t="n">
        <v>1.06672758</v>
      </c>
      <c r="S53" s="18" t="n">
        <v>0</v>
      </c>
      <c r="T53" s="20" t="n">
        <v>0</v>
      </c>
      <c r="U53" s="18" t="n">
        <v>0</v>
      </c>
      <c r="V53" s="20" t="n">
        <v>0</v>
      </c>
      <c r="W53" s="18" t="n">
        <v>26.14456381</v>
      </c>
      <c r="X53" s="20" t="n">
        <v>2.60406827</v>
      </c>
    </row>
    <row r="54" spans="1:24">
      <c r="A54" s="15" t="s">
        <v>396</v>
      </c>
      <c r="B54" s="17" t="n">
        <v>2474</v>
      </c>
      <c r="C54" s="18">
        <f>(2087.0/B54*100)</f>
        <v/>
      </c>
      <c r="D54" s="19" t="n">
        <v>387</v>
      </c>
      <c r="E54" s="18" t="n">
        <v>20.64211169</v>
      </c>
      <c r="F54" s="20" t="n">
        <v>2.2588505</v>
      </c>
      <c r="G54" s="18" t="n">
        <v>24.92653166</v>
      </c>
      <c r="H54" s="20" t="n">
        <v>2.35122755</v>
      </c>
      <c r="I54" s="18" t="n">
        <v>0</v>
      </c>
      <c r="J54" s="20" t="n">
        <v>0</v>
      </c>
      <c r="K54" s="18" t="n">
        <v>0</v>
      </c>
      <c r="L54" s="20" t="n">
        <v>0</v>
      </c>
      <c r="M54" s="18" t="n">
        <v>0</v>
      </c>
      <c r="N54" s="20" t="n">
        <v>0</v>
      </c>
      <c r="O54" s="18" t="s">
        <v>349</v>
      </c>
      <c r="P54" s="20" t="s">
        <v>349</v>
      </c>
      <c r="Q54" s="18" t="n">
        <v>24.24338328</v>
      </c>
      <c r="R54" s="20" t="n">
        <v>2.3863341</v>
      </c>
      <c r="S54" s="18" t="n">
        <v>0.81575221</v>
      </c>
      <c r="T54" s="20" t="n">
        <v>0.66165474</v>
      </c>
      <c r="U54" s="18" t="n">
        <v>0</v>
      </c>
      <c r="V54" s="20" t="n">
        <v>0</v>
      </c>
      <c r="W54" s="18" t="n">
        <v>29.37222116</v>
      </c>
      <c r="X54" s="20" t="n">
        <v>2.43837314</v>
      </c>
    </row>
    <row r="55" spans="1:24">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c r="U55" s="18" t="s">
        <v>349</v>
      </c>
      <c r="V55" s="20" t="s">
        <v>349</v>
      </c>
      <c r="W55" s="18" t="s">
        <v>349</v>
      </c>
      <c r="X55" s="20" t="s">
        <v>349</v>
      </c>
    </row>
    <row r="56" spans="1:24">
      <c r="A56" s="15" t="s">
        <v>398</v>
      </c>
      <c r="B56" s="17" t="n">
        <v>2675</v>
      </c>
      <c r="C56" s="18">
        <f>(2322.0/B56*100)</f>
        <v/>
      </c>
      <c r="D56" s="19" t="n">
        <v>353</v>
      </c>
      <c r="E56" s="18" t="n">
        <v>43.73853833</v>
      </c>
      <c r="F56" s="20" t="n">
        <v>2.97451784</v>
      </c>
      <c r="G56" s="18" t="n">
        <v>26.89543228</v>
      </c>
      <c r="H56" s="20" t="n">
        <v>2.58930688</v>
      </c>
      <c r="I56" s="18" t="n">
        <v>0.7373825899999999</v>
      </c>
      <c r="J56" s="20" t="n">
        <v>0.43067389</v>
      </c>
      <c r="K56" s="18" t="n">
        <v>8.69598637</v>
      </c>
      <c r="L56" s="20" t="n">
        <v>1.43107372</v>
      </c>
      <c r="M56" s="18" t="n">
        <v>5.09968983</v>
      </c>
      <c r="N56" s="20" t="n">
        <v>1.36174961</v>
      </c>
      <c r="O56" s="18" t="s">
        <v>349</v>
      </c>
      <c r="P56" s="20" t="s">
        <v>349</v>
      </c>
      <c r="Q56" s="18" t="n">
        <v>0.22033099</v>
      </c>
      <c r="R56" s="20" t="n">
        <v>0.22044319</v>
      </c>
      <c r="S56" s="18" t="n">
        <v>0</v>
      </c>
      <c r="T56" s="20" t="n">
        <v>0</v>
      </c>
      <c r="U56" s="18" t="n">
        <v>0</v>
      </c>
      <c r="V56" s="20" t="n">
        <v>0</v>
      </c>
      <c r="W56" s="18" t="n">
        <v>14.6126396</v>
      </c>
      <c r="X56" s="20" t="n">
        <v>2.14233454</v>
      </c>
    </row>
    <row r="57" spans="1:24">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c r="U57" s="18" t="s">
        <v>349</v>
      </c>
      <c r="V57" s="20" t="s">
        <v>349</v>
      </c>
      <c r="W57" s="18" t="s">
        <v>349</v>
      </c>
      <c r="X57" s="20" t="s">
        <v>349</v>
      </c>
    </row>
    <row r="58" spans="1:24">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c r="W58" s="18" t="s">
        <v>349</v>
      </c>
      <c r="X58" s="20" t="s">
        <v>349</v>
      </c>
    </row>
    <row r="59" spans="1:24">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c r="W59" s="18" t="s">
        <v>349</v>
      </c>
      <c r="X59" s="20" t="s">
        <v>349</v>
      </c>
    </row>
    <row r="60" spans="1:24">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c r="W60" s="18" t="s">
        <v>349</v>
      </c>
      <c r="X60" s="20" t="s">
        <v>349</v>
      </c>
    </row>
    <row r="61" spans="1:24">
      <c r="A61" s="15" t="s">
        <v>403</v>
      </c>
      <c r="B61" s="17" t="n">
        <v>3201</v>
      </c>
      <c r="C61" s="18">
        <f>(2823.0/B61*100)</f>
        <v/>
      </c>
      <c r="D61" s="19" t="n">
        <v>378</v>
      </c>
      <c r="E61" s="18" t="n">
        <v>44.07166928</v>
      </c>
      <c r="F61" s="20" t="n">
        <v>2.81908464</v>
      </c>
      <c r="G61" s="18" t="n">
        <v>18.75861113</v>
      </c>
      <c r="H61" s="20" t="n">
        <v>2.10577178</v>
      </c>
      <c r="I61" s="18" t="n">
        <v>1.46290897</v>
      </c>
      <c r="J61" s="20" t="n">
        <v>0.77359157</v>
      </c>
      <c r="K61" s="18" t="n">
        <v>2.70310792</v>
      </c>
      <c r="L61" s="20" t="n">
        <v>0.88345911</v>
      </c>
      <c r="M61" s="18" t="n">
        <v>1.07659155</v>
      </c>
      <c r="N61" s="20" t="n">
        <v>0.62823608</v>
      </c>
      <c r="O61" s="18" t="s">
        <v>349</v>
      </c>
      <c r="P61" s="20" t="s">
        <v>349</v>
      </c>
      <c r="Q61" s="18" t="n">
        <v>3.13765876</v>
      </c>
      <c r="R61" s="20" t="n">
        <v>0.63539253</v>
      </c>
      <c r="S61" s="18" t="n">
        <v>0</v>
      </c>
      <c r="T61" s="20" t="n">
        <v>0</v>
      </c>
      <c r="U61" s="18" t="n">
        <v>0</v>
      </c>
      <c r="V61" s="20" t="n">
        <v>0</v>
      </c>
      <c r="W61" s="18" t="n">
        <v>28.78945239</v>
      </c>
      <c r="X61" s="20" t="n">
        <v>2.26781261</v>
      </c>
    </row>
    <row r="62" spans="1:24">
      <c r="A62" s="15" t="s">
        <v>404</v>
      </c>
      <c r="B62" s="17" t="n">
        <v>2230</v>
      </c>
      <c r="C62" s="18">
        <f>(1953.0/B62*100)</f>
        <v/>
      </c>
      <c r="D62" s="19" t="n">
        <v>277</v>
      </c>
      <c r="E62" s="18" t="n">
        <v>42.98241235</v>
      </c>
      <c r="F62" s="20" t="n">
        <v>3.08424568</v>
      </c>
      <c r="G62" s="18" t="n">
        <v>12.6671648</v>
      </c>
      <c r="H62" s="20" t="n">
        <v>1.81899074</v>
      </c>
      <c r="I62" s="18" t="n">
        <v>1.07515595</v>
      </c>
      <c r="J62" s="20" t="n">
        <v>0.6216592399999999</v>
      </c>
      <c r="K62" s="18" t="n">
        <v>14.73991135</v>
      </c>
      <c r="L62" s="20" t="n">
        <v>2.34120803</v>
      </c>
      <c r="M62" s="18" t="n">
        <v>19.83434786</v>
      </c>
      <c r="N62" s="20" t="n">
        <v>2.47753276</v>
      </c>
      <c r="O62" s="18" t="s">
        <v>349</v>
      </c>
      <c r="P62" s="20" t="s">
        <v>349</v>
      </c>
      <c r="Q62" s="18" t="n">
        <v>0</v>
      </c>
      <c r="R62" s="20" t="n">
        <v>0</v>
      </c>
      <c r="S62" s="18" t="n">
        <v>0</v>
      </c>
      <c r="T62" s="20" t="n">
        <v>0</v>
      </c>
      <c r="U62" s="18" t="n">
        <v>0</v>
      </c>
      <c r="V62" s="20" t="n">
        <v>0</v>
      </c>
      <c r="W62" s="18" t="n">
        <v>8.7010077</v>
      </c>
      <c r="X62" s="20" t="n">
        <v>1.77443746</v>
      </c>
    </row>
    <row r="63" spans="1:24">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c r="W63" s="18" t="s">
        <v>349</v>
      </c>
      <c r="X63" s="20" t="s">
        <v>349</v>
      </c>
    </row>
    <row r="64" spans="1:24">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c r="U64" s="18" t="s">
        <v>349</v>
      </c>
      <c r="V64" s="20" t="s">
        <v>349</v>
      </c>
      <c r="W64" s="18" t="s">
        <v>349</v>
      </c>
      <c r="X64" s="20" t="s">
        <v>349</v>
      </c>
    </row>
    <row r="65" spans="1:24">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c r="W65" s="18" t="s">
        <v>349</v>
      </c>
      <c r="X65" s="20" t="s">
        <v>349</v>
      </c>
    </row>
    <row r="66" spans="1:24">
      <c r="A66" s="15" t="s">
        <v>408</v>
      </c>
      <c r="B66" s="17" t="n">
        <v>2771</v>
      </c>
      <c r="C66" s="18">
        <f>(2440.0/B66*100)</f>
        <v/>
      </c>
      <c r="D66" s="19" t="n">
        <v>331</v>
      </c>
      <c r="E66" s="18" t="n">
        <v>35.95332282</v>
      </c>
      <c r="F66" s="20" t="n">
        <v>2.67125876</v>
      </c>
      <c r="G66" s="18" t="n">
        <v>19.89778841</v>
      </c>
      <c r="H66" s="20" t="n">
        <v>2.17086932</v>
      </c>
      <c r="I66" s="18" t="n">
        <v>0.83657758</v>
      </c>
      <c r="J66" s="20" t="n">
        <v>0.48243846</v>
      </c>
      <c r="K66" s="18" t="n">
        <v>3.89883251</v>
      </c>
      <c r="L66" s="20" t="n">
        <v>1.06861398</v>
      </c>
      <c r="M66" s="18" t="n">
        <v>3.5649359</v>
      </c>
      <c r="N66" s="20" t="n">
        <v>0.99444507</v>
      </c>
      <c r="O66" s="18" t="s">
        <v>349</v>
      </c>
      <c r="P66" s="20" t="s">
        <v>349</v>
      </c>
      <c r="Q66" s="18" t="n">
        <v>5.66722532</v>
      </c>
      <c r="R66" s="20" t="n">
        <v>1.4123778</v>
      </c>
      <c r="S66" s="18" t="n">
        <v>0</v>
      </c>
      <c r="T66" s="20" t="n">
        <v>0</v>
      </c>
      <c r="U66" s="18" t="n">
        <v>0</v>
      </c>
      <c r="V66" s="20" t="n">
        <v>0</v>
      </c>
      <c r="W66" s="18" t="n">
        <v>30.18131747</v>
      </c>
      <c r="X66" s="20" t="n">
        <v>2.7878296</v>
      </c>
    </row>
    <row r="67" spans="1:24">
      <c r="A67" s="15" t="s">
        <v>409</v>
      </c>
      <c r="B67" s="17" t="n">
        <v>3460</v>
      </c>
      <c r="C67" s="18">
        <f>(3103.0/B67*100)</f>
        <v/>
      </c>
      <c r="D67" s="19" t="n">
        <v>357</v>
      </c>
      <c r="E67" s="18" t="n">
        <v>46.59337999</v>
      </c>
      <c r="F67" s="20" t="n">
        <v>3.00152965</v>
      </c>
      <c r="G67" s="18" t="n">
        <v>21.70791859</v>
      </c>
      <c r="H67" s="20" t="n">
        <v>2.63376068</v>
      </c>
      <c r="I67" s="18" t="n">
        <v>0</v>
      </c>
      <c r="J67" s="20" t="n">
        <v>0</v>
      </c>
      <c r="K67" s="18" t="n">
        <v>1.51419428</v>
      </c>
      <c r="L67" s="20" t="n">
        <v>0.79141089</v>
      </c>
      <c r="M67" s="18" t="n">
        <v>3.55246209</v>
      </c>
      <c r="N67" s="20" t="n">
        <v>0.89920015</v>
      </c>
      <c r="O67" s="18" t="s">
        <v>349</v>
      </c>
      <c r="P67" s="20" t="s">
        <v>349</v>
      </c>
      <c r="Q67" s="18" t="n">
        <v>3.62179275</v>
      </c>
      <c r="R67" s="20" t="n">
        <v>0.90876067</v>
      </c>
      <c r="S67" s="18" t="n">
        <v>1.09887702</v>
      </c>
      <c r="T67" s="20" t="n">
        <v>0.55487299</v>
      </c>
      <c r="U67" s="18" t="n">
        <v>0</v>
      </c>
      <c r="V67" s="20" t="n">
        <v>0</v>
      </c>
      <c r="W67" s="18" t="n">
        <v>21.91137528</v>
      </c>
      <c r="X67" s="20" t="n">
        <v>2.22720852</v>
      </c>
    </row>
    <row r="68" spans="1:24">
      <c r="A68" s="15" t="s">
        <v>410</v>
      </c>
      <c r="B68" s="17" t="n">
        <v>6034</v>
      </c>
      <c r="C68" s="18">
        <f>(5021.0/B68*100)</f>
        <v/>
      </c>
      <c r="D68" s="19" t="n">
        <v>1013</v>
      </c>
      <c r="E68" s="18" t="n">
        <v>37.50622552</v>
      </c>
      <c r="F68" s="20" t="n">
        <v>1.73781672</v>
      </c>
      <c r="G68" s="18" t="n">
        <v>40.87518541</v>
      </c>
      <c r="H68" s="20" t="n">
        <v>1.60575729</v>
      </c>
      <c r="I68" s="18" t="n">
        <v>0.30553082</v>
      </c>
      <c r="J68" s="20" t="n">
        <v>0.17789378</v>
      </c>
      <c r="K68" s="18" t="n">
        <v>2.08868662</v>
      </c>
      <c r="L68" s="20" t="n">
        <v>0.50762502</v>
      </c>
      <c r="M68" s="18" t="n">
        <v>0.59671946</v>
      </c>
      <c r="N68" s="20" t="n">
        <v>0.24532219</v>
      </c>
      <c r="O68" s="18" t="s">
        <v>349</v>
      </c>
      <c r="P68" s="20" t="s">
        <v>349</v>
      </c>
      <c r="Q68" s="18" t="n">
        <v>5.19954955</v>
      </c>
      <c r="R68" s="20" t="n">
        <v>0.6455585</v>
      </c>
      <c r="S68" s="18" t="n">
        <v>0</v>
      </c>
      <c r="T68" s="20" t="n">
        <v>0</v>
      </c>
      <c r="U68" s="18" t="n">
        <v>0</v>
      </c>
      <c r="V68" s="20" t="n">
        <v>0</v>
      </c>
      <c r="W68" s="18" t="n">
        <v>13.42810262</v>
      </c>
      <c r="X68" s="20" t="n">
        <v>1.06487288</v>
      </c>
    </row>
    <row r="69" spans="1:24">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c r="W69" s="18" t="s">
        <v>349</v>
      </c>
      <c r="X69" s="20" t="s">
        <v>349</v>
      </c>
    </row>
    <row r="70" spans="1:24">
      <c r="A70" s="15" t="s">
        <v>412</v>
      </c>
      <c r="B70" s="17" t="n">
        <v>3107</v>
      </c>
      <c r="C70" s="18">
        <f>(2731.0/B70*100)</f>
        <v/>
      </c>
      <c r="D70" s="19" t="n">
        <v>376</v>
      </c>
      <c r="E70" s="18" t="n">
        <v>36.60866619</v>
      </c>
      <c r="F70" s="20" t="n">
        <v>3.18104738</v>
      </c>
      <c r="G70" s="18" t="n">
        <v>16.28438448</v>
      </c>
      <c r="H70" s="20" t="n">
        <v>2.05742113</v>
      </c>
      <c r="I70" s="18" t="n">
        <v>4.6892802</v>
      </c>
      <c r="J70" s="20" t="n">
        <v>1.01857723</v>
      </c>
      <c r="K70" s="18" t="n">
        <v>15.8450511</v>
      </c>
      <c r="L70" s="20" t="n">
        <v>2.45438999</v>
      </c>
      <c r="M70" s="18" t="n">
        <v>6.23864051</v>
      </c>
      <c r="N70" s="20" t="n">
        <v>1.28262338</v>
      </c>
      <c r="O70" s="18" t="s">
        <v>349</v>
      </c>
      <c r="P70" s="20" t="s">
        <v>349</v>
      </c>
      <c r="Q70" s="18" t="n">
        <v>3.62092871</v>
      </c>
      <c r="R70" s="20" t="n">
        <v>0.90781111</v>
      </c>
      <c r="S70" s="18" t="n">
        <v>0.87375333</v>
      </c>
      <c r="T70" s="20" t="n">
        <v>0.23642897</v>
      </c>
      <c r="U70" s="18" t="n">
        <v>0</v>
      </c>
      <c r="V70" s="20" t="n">
        <v>0</v>
      </c>
      <c r="W70" s="18" t="n">
        <v>15.83929547</v>
      </c>
      <c r="X70" s="20" t="n">
        <v>2.53521492</v>
      </c>
    </row>
    <row r="71" spans="1:24">
      <c r="A71" s="15" t="s">
        <v>413</v>
      </c>
      <c r="B71" s="17" t="n">
        <v>2973</v>
      </c>
      <c r="C71" s="18">
        <f>(2616.0/B71*100)</f>
        <v/>
      </c>
      <c r="D71" s="19" t="n">
        <v>357</v>
      </c>
      <c r="E71" s="18" t="n">
        <v>55.93015468</v>
      </c>
      <c r="F71" s="20" t="n">
        <v>2.44741195</v>
      </c>
      <c r="G71" s="18" t="n">
        <v>18.73736971</v>
      </c>
      <c r="H71" s="20" t="n">
        <v>2.0425217</v>
      </c>
      <c r="I71" s="18" t="n">
        <v>0.5405683</v>
      </c>
      <c r="J71" s="20" t="n">
        <v>0.34109688</v>
      </c>
      <c r="K71" s="18" t="n">
        <v>8.362320049999999</v>
      </c>
      <c r="L71" s="20" t="n">
        <v>1.72655084</v>
      </c>
      <c r="M71" s="18" t="n">
        <v>5.38791535</v>
      </c>
      <c r="N71" s="20" t="n">
        <v>1.3681793</v>
      </c>
      <c r="O71" s="18" t="s">
        <v>349</v>
      </c>
      <c r="P71" s="20" t="s">
        <v>349</v>
      </c>
      <c r="Q71" s="18" t="n">
        <v>0.32647479</v>
      </c>
      <c r="R71" s="20" t="n">
        <v>0.328822</v>
      </c>
      <c r="S71" s="18" t="n">
        <v>0</v>
      </c>
      <c r="T71" s="20" t="n">
        <v>0</v>
      </c>
      <c r="U71" s="18" t="n">
        <v>0</v>
      </c>
      <c r="V71" s="20" t="n">
        <v>0</v>
      </c>
      <c r="W71" s="18" t="n">
        <v>10.71519713</v>
      </c>
      <c r="X71" s="20" t="n">
        <v>1.80952569</v>
      </c>
    </row>
    <row r="72" spans="1:24">
      <c r="A72" s="15" t="s">
        <v>414</v>
      </c>
      <c r="B72" s="17" t="n">
        <v>3819</v>
      </c>
      <c r="C72" s="18">
        <f>(3346.0/B72*100)</f>
        <v/>
      </c>
      <c r="D72" s="19" t="n">
        <v>473</v>
      </c>
      <c r="E72" s="18" t="n">
        <v>23.36722344</v>
      </c>
      <c r="F72" s="20" t="n">
        <v>1.75509203</v>
      </c>
      <c r="G72" s="18" t="n">
        <v>15.52466235</v>
      </c>
      <c r="H72" s="20" t="n">
        <v>1.64827176</v>
      </c>
      <c r="I72" s="18" t="n">
        <v>4.63645423</v>
      </c>
      <c r="J72" s="20" t="n">
        <v>1.00889167</v>
      </c>
      <c r="K72" s="18" t="n">
        <v>12.68476831</v>
      </c>
      <c r="L72" s="20" t="n">
        <v>1.64975057</v>
      </c>
      <c r="M72" s="18" t="n">
        <v>30.04181714</v>
      </c>
      <c r="N72" s="20" t="n">
        <v>2.09819296</v>
      </c>
      <c r="O72" s="18" t="s">
        <v>349</v>
      </c>
      <c r="P72" s="20" t="s">
        <v>349</v>
      </c>
      <c r="Q72" s="18" t="n">
        <v>0.38471576</v>
      </c>
      <c r="R72" s="20" t="n">
        <v>0.27743207</v>
      </c>
      <c r="S72" s="18" t="n">
        <v>0</v>
      </c>
      <c r="T72" s="20" t="n">
        <v>0</v>
      </c>
      <c r="U72" s="18" t="n">
        <v>0</v>
      </c>
      <c r="V72" s="20" t="n">
        <v>0</v>
      </c>
      <c r="W72" s="18" t="n">
        <v>13.36035878</v>
      </c>
      <c r="X72" s="20" t="n">
        <v>1.7373913</v>
      </c>
    </row>
    <row r="73" spans="1:24">
      <c r="A73" s="15" t="s">
        <v>415</v>
      </c>
      <c r="B73" s="17" t="n">
        <v>4652</v>
      </c>
      <c r="C73" s="18">
        <f>(4138.0/B73*100)</f>
        <v/>
      </c>
      <c r="D73" s="19" t="n">
        <v>514</v>
      </c>
      <c r="E73" s="18" t="n">
        <v>38.14473325</v>
      </c>
      <c r="F73" s="20" t="n">
        <v>2.05668173</v>
      </c>
      <c r="G73" s="18" t="n">
        <v>49.96662545</v>
      </c>
      <c r="H73" s="20" t="n">
        <v>2.03646344</v>
      </c>
      <c r="I73" s="18" t="n">
        <v>0.01872927</v>
      </c>
      <c r="J73" s="20" t="n">
        <v>0.01331191</v>
      </c>
      <c r="K73" s="18" t="n">
        <v>1.38839527</v>
      </c>
      <c r="L73" s="20" t="n">
        <v>0.64314513</v>
      </c>
      <c r="M73" s="18" t="n">
        <v>0.50109401</v>
      </c>
      <c r="N73" s="20" t="n">
        <v>0.28473206</v>
      </c>
      <c r="O73" s="18" t="s">
        <v>349</v>
      </c>
      <c r="P73" s="20" t="s">
        <v>349</v>
      </c>
      <c r="Q73" s="18" t="n">
        <v>0.40483632</v>
      </c>
      <c r="R73" s="20" t="n">
        <v>0.31083314</v>
      </c>
      <c r="S73" s="18" t="n">
        <v>0</v>
      </c>
      <c r="T73" s="20" t="n">
        <v>0</v>
      </c>
      <c r="U73" s="18" t="n">
        <v>0</v>
      </c>
      <c r="V73" s="20" t="n">
        <v>0</v>
      </c>
      <c r="W73" s="18" t="n">
        <v>9.57558643</v>
      </c>
      <c r="X73" s="20" t="n">
        <v>1.36417987</v>
      </c>
    </row>
    <row r="74" spans="1:24">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c r="W74" s="18" t="s">
        <v>349</v>
      </c>
      <c r="X74" s="20" t="s">
        <v>349</v>
      </c>
    </row>
    <row r="75" spans="1:24">
      <c r="A75" s="15" t="s">
        <v>417</v>
      </c>
      <c r="B75" s="17" t="n">
        <v>2969</v>
      </c>
      <c r="C75" s="18">
        <f>(2641.0/B75*100)</f>
        <v/>
      </c>
      <c r="D75" s="19" t="n">
        <v>328</v>
      </c>
      <c r="E75" s="18" t="n">
        <v>35.48687354</v>
      </c>
      <c r="F75" s="20" t="n">
        <v>3.17954144</v>
      </c>
      <c r="G75" s="18" t="n">
        <v>31.29921077</v>
      </c>
      <c r="H75" s="20" t="n">
        <v>2.36983382</v>
      </c>
      <c r="I75" s="18" t="n">
        <v>0.3798926</v>
      </c>
      <c r="J75" s="20" t="n">
        <v>0.26410557</v>
      </c>
      <c r="K75" s="18" t="n">
        <v>0</v>
      </c>
      <c r="L75" s="20" t="n">
        <v>0</v>
      </c>
      <c r="M75" s="18" t="n">
        <v>0</v>
      </c>
      <c r="N75" s="20" t="n">
        <v>0</v>
      </c>
      <c r="O75" s="18" t="s">
        <v>349</v>
      </c>
      <c r="P75" s="20" t="s">
        <v>349</v>
      </c>
      <c r="Q75" s="18" t="n">
        <v>9.479144120000001</v>
      </c>
      <c r="R75" s="20" t="n">
        <v>1.64687293</v>
      </c>
      <c r="S75" s="18" t="n">
        <v>0.5954590400000001</v>
      </c>
      <c r="T75" s="20" t="n">
        <v>0.36516781</v>
      </c>
      <c r="U75" s="18" t="n">
        <v>0</v>
      </c>
      <c r="V75" s="20" t="n">
        <v>0</v>
      </c>
      <c r="W75" s="18" t="n">
        <v>22.75941993</v>
      </c>
      <c r="X75" s="20" t="n">
        <v>2.49844509</v>
      </c>
    </row>
    <row r="76" spans="1:24">
      <c r="A76" s="15" t="s">
        <v>418</v>
      </c>
      <c r="B76" s="17" t="n">
        <v>7115</v>
      </c>
      <c r="C76" s="18">
        <f>(6245.0/B76*100)</f>
        <v/>
      </c>
      <c r="D76" s="19" t="n">
        <v>870</v>
      </c>
      <c r="E76" s="18" t="n">
        <v>43.37940843</v>
      </c>
      <c r="F76" s="20" t="n">
        <v>2.31472095</v>
      </c>
      <c r="G76" s="18" t="n">
        <v>40.87058741</v>
      </c>
      <c r="H76" s="20" t="n">
        <v>1.93298995</v>
      </c>
      <c r="I76" s="18" t="n">
        <v>0</v>
      </c>
      <c r="J76" s="20" t="n">
        <v>0</v>
      </c>
      <c r="K76" s="18" t="n">
        <v>2.26270971</v>
      </c>
      <c r="L76" s="20" t="n">
        <v>0.70459517</v>
      </c>
      <c r="M76" s="18" t="n">
        <v>0.95128424</v>
      </c>
      <c r="N76" s="20" t="n">
        <v>0.35378212</v>
      </c>
      <c r="O76" s="18" t="s">
        <v>349</v>
      </c>
      <c r="P76" s="20" t="s">
        <v>349</v>
      </c>
      <c r="Q76" s="18" t="n">
        <v>2.78353201</v>
      </c>
      <c r="R76" s="20" t="n">
        <v>0.64884684</v>
      </c>
      <c r="S76" s="18" t="n">
        <v>0.03751151</v>
      </c>
      <c r="T76" s="20" t="n">
        <v>0.03769774</v>
      </c>
      <c r="U76" s="18" t="n">
        <v>0</v>
      </c>
      <c r="V76" s="20" t="n">
        <v>0</v>
      </c>
      <c r="W76" s="18" t="n">
        <v>9.7149667</v>
      </c>
      <c r="X76" s="20" t="n">
        <v>1.14363647</v>
      </c>
    </row>
    <row r="77" spans="1:24">
      <c r="A77" s="15" t="s">
        <v>419</v>
      </c>
      <c r="B77" s="17" t="n">
        <v>3154</v>
      </c>
      <c r="C77" s="18">
        <f>(2800.0/B77*100)</f>
        <v/>
      </c>
      <c r="D77" s="19" t="n">
        <v>354</v>
      </c>
      <c r="E77" s="18" t="n">
        <v>38.02951702</v>
      </c>
      <c r="F77" s="20" t="n">
        <v>2.47104272</v>
      </c>
      <c r="G77" s="18" t="n">
        <v>18.01507203</v>
      </c>
      <c r="H77" s="20" t="n">
        <v>1.96001397</v>
      </c>
      <c r="I77" s="18" t="n">
        <v>0.26493948</v>
      </c>
      <c r="J77" s="20" t="n">
        <v>0.2658347</v>
      </c>
      <c r="K77" s="18" t="n">
        <v>4.59495862</v>
      </c>
      <c r="L77" s="20" t="n">
        <v>1.03427979</v>
      </c>
      <c r="M77" s="18" t="n">
        <v>0.29184979</v>
      </c>
      <c r="N77" s="20" t="n">
        <v>0.30662448</v>
      </c>
      <c r="O77" s="18" t="s">
        <v>349</v>
      </c>
      <c r="P77" s="20" t="s">
        <v>349</v>
      </c>
      <c r="Q77" s="18" t="n">
        <v>6.94320078</v>
      </c>
      <c r="R77" s="20" t="n">
        <v>1.44687445</v>
      </c>
      <c r="S77" s="18" t="n">
        <v>5.22636416</v>
      </c>
      <c r="T77" s="20" t="n">
        <v>1.13804874</v>
      </c>
      <c r="U77" s="18" t="n">
        <v>0</v>
      </c>
      <c r="V77" s="20" t="n">
        <v>0</v>
      </c>
      <c r="W77" s="18" t="n">
        <v>26.63409813</v>
      </c>
      <c r="X77" s="20" t="n">
        <v>2.30491479</v>
      </c>
    </row>
    <row r="78" spans="1:24">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c r="W78" s="18" t="s">
        <v>349</v>
      </c>
      <c r="X78" s="20" t="s">
        <v>349</v>
      </c>
    </row>
    <row customHeight="1" ht="25" r="79" spans="1:24">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c r="W79" s="18" t="s">
        <v>349</v>
      </c>
      <c r="X79" s="20" t="s">
        <v>349</v>
      </c>
    </row>
    <row r="80" spans="1:24">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row>
    <row r="81" spans="1:24">
      <c r="A81" s="21" t="s">
        <v>423</v>
      </c>
      <c r="B81" s="17" t="n">
        <v>4698</v>
      </c>
      <c r="C81" s="18">
        <f>(4143.0/B81*100)</f>
        <v/>
      </c>
      <c r="D81" s="19" t="n">
        <v>555</v>
      </c>
      <c r="E81" s="18" t="n">
        <v>49.59077087</v>
      </c>
      <c r="F81" s="20" t="n">
        <v>2.74322726</v>
      </c>
      <c r="G81" s="18" t="n">
        <v>43.19172007</v>
      </c>
      <c r="H81" s="20" t="n">
        <v>2.65801531</v>
      </c>
      <c r="I81" s="18" t="n">
        <v>0</v>
      </c>
      <c r="J81" s="20" t="n">
        <v>0</v>
      </c>
      <c r="K81" s="18" t="n">
        <v>0.5385375999999999</v>
      </c>
      <c r="L81" s="20" t="n">
        <v>0.37115995</v>
      </c>
      <c r="M81" s="18" t="n">
        <v>0</v>
      </c>
      <c r="N81" s="20" t="n">
        <v>0</v>
      </c>
      <c r="O81" s="18" t="s">
        <v>349</v>
      </c>
      <c r="P81" s="20" t="s">
        <v>349</v>
      </c>
      <c r="Q81" s="18" t="n">
        <v>1.24732168</v>
      </c>
      <c r="R81" s="20" t="n">
        <v>0.5620749900000001</v>
      </c>
      <c r="S81" s="18" t="n">
        <v>0</v>
      </c>
      <c r="T81" s="20" t="n">
        <v>0</v>
      </c>
      <c r="U81" s="18" t="n">
        <v>0</v>
      </c>
      <c r="V81" s="20" t="n">
        <v>0</v>
      </c>
      <c r="W81" s="18" t="n">
        <v>5.43164979</v>
      </c>
      <c r="X81" s="20" t="n">
        <v>1.23233978</v>
      </c>
    </row>
    <row r="82" spans="1:24">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row>
    <row r="83" spans="1:24">
      <c r="A83" s="3" t="s">
        <v>425</v>
      </c>
    </row>
    <row r="84" spans="1:24">
      <c r="A84" s="23" t="s">
        <v>426</v>
      </c>
    </row>
    <row r="85" spans="1:24">
      <c r="A85" s="23" t="s">
        <v>427</v>
      </c>
    </row>
    <row customHeight="1" ht="30" r="86" spans="1:24">
      <c r="A86" s="23" t="s">
        <v>428</v>
      </c>
    </row>
    <row customHeight="1" ht="30" r="87" spans="1:24">
      <c r="A87" s="23" t="s">
        <v>424</v>
      </c>
    </row>
    <row customHeight="1" ht="30" r="88" spans="1:24">
      <c r="A88" s="23" t="s">
        <v>429</v>
      </c>
    </row>
    <row customHeight="1" ht="30" r="89" spans="1:24">
      <c r="A89" s="23" t="s">
        <v>430</v>
      </c>
    </row>
    <row customHeight="1" ht="30" r="90" spans="1:24">
      <c r="A90" s="23" t="s">
        <v>431</v>
      </c>
    </row>
    <row customHeight="1" ht="30" r="91" spans="1:24">
      <c r="A91" s="23" t="s">
        <v>432</v>
      </c>
    </row>
    <row customHeight="1" ht="30" r="92" spans="1:24">
      <c r="A92" s="23" t="s">
        <v>433</v>
      </c>
    </row>
    <row customHeight="1" ht="30" r="93" spans="1:24">
      <c r="A93" s="23" t="s">
        <v>434</v>
      </c>
    </row>
    <row customHeight="1" ht="30" r="94" spans="1:24">
      <c r="A94" s="23" t="s">
        <v>435</v>
      </c>
    </row>
    <row customHeight="1" ht="30" r="95" spans="1:24">
      <c r="A95" s="23" t="s">
        <v>436</v>
      </c>
    </row>
    <row customHeight="1" ht="30" r="96" spans="1:24">
      <c r="A96" s="23" t="s">
        <v>437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(6276.0/B7*100)</f>
        <v/>
      </c>
      <c r="D7" s="19" t="n">
        <v>887</v>
      </c>
      <c r="E7" s="18" t="n">
        <v>60.477123</v>
      </c>
      <c r="F7" s="20" t="n">
        <v>1.67978163</v>
      </c>
      <c r="G7" s="18" t="n">
        <v>37.70241744</v>
      </c>
      <c r="H7" s="20" t="n">
        <v>1.70160025</v>
      </c>
      <c r="I7" s="18" t="s">
        <v>349</v>
      </c>
      <c r="J7" s="20" t="s">
        <v>349</v>
      </c>
      <c r="K7" s="18" t="n">
        <v>1.82045956</v>
      </c>
      <c r="L7" s="20" t="n">
        <v>0.44041905</v>
      </c>
      <c r="M7" s="18" t="n">
        <v>0</v>
      </c>
      <c r="N7" s="20" t="n">
        <v>0</v>
      </c>
      <c r="O7" s="18" t="n">
        <v>0</v>
      </c>
      <c r="P7" s="20" t="n">
        <v>0</v>
      </c>
      <c r="Q7" s="18" t="n">
        <v>0</v>
      </c>
      <c r="R7" s="20" t="n">
        <v>0</v>
      </c>
    </row>
    <row r="8" spans="1:18">
      <c r="A8" s="15" t="s">
        <v>350</v>
      </c>
      <c r="B8" s="17" t="n">
        <v>3443</v>
      </c>
      <c r="C8" s="18">
        <f>(3035.0/B8*100)</f>
        <v/>
      </c>
      <c r="D8" s="19" t="n">
        <v>408</v>
      </c>
      <c r="E8" s="18" t="n">
        <v>59.94221169</v>
      </c>
      <c r="F8" s="20" t="n">
        <v>2.37992076</v>
      </c>
      <c r="G8" s="18" t="n">
        <v>34.70277165</v>
      </c>
      <c r="H8" s="20" t="n">
        <v>2.46764254</v>
      </c>
      <c r="I8" s="18" t="s">
        <v>349</v>
      </c>
      <c r="J8" s="20" t="s">
        <v>349</v>
      </c>
      <c r="K8" s="18" t="n">
        <v>5.35501667</v>
      </c>
      <c r="L8" s="20" t="n">
        <v>1.59277081</v>
      </c>
      <c r="M8" s="18" t="n">
        <v>0</v>
      </c>
      <c r="N8" s="20" t="n">
        <v>0</v>
      </c>
      <c r="O8" s="18" t="n">
        <v>0</v>
      </c>
      <c r="P8" s="20" t="n">
        <v>0</v>
      </c>
      <c r="Q8" s="18" t="n">
        <v>0</v>
      </c>
      <c r="R8" s="20" t="n">
        <v>0</v>
      </c>
    </row>
    <row r="9" spans="1:18">
      <c r="A9" s="15" t="s">
        <v>351</v>
      </c>
      <c r="B9" s="17" t="n">
        <v>4752</v>
      </c>
      <c r="C9" s="18">
        <f>(4194.0/B9*100)</f>
        <v/>
      </c>
      <c r="D9" s="19" t="n">
        <v>558</v>
      </c>
      <c r="E9" s="18" t="n">
        <v>57.96778038</v>
      </c>
      <c r="F9" s="20" t="n">
        <v>2.32446225</v>
      </c>
      <c r="G9" s="18" t="n">
        <v>38.41454977</v>
      </c>
      <c r="H9" s="20" t="n">
        <v>2.38412436</v>
      </c>
      <c r="I9" s="18" t="s">
        <v>349</v>
      </c>
      <c r="J9" s="20" t="s">
        <v>349</v>
      </c>
      <c r="K9" s="18" t="n">
        <v>3.61766985</v>
      </c>
      <c r="L9" s="20" t="n">
        <v>0.88974541</v>
      </c>
      <c r="M9" s="18" t="n">
        <v>0</v>
      </c>
      <c r="N9" s="20" t="n">
        <v>0</v>
      </c>
      <c r="O9" s="18" t="n">
        <v>0</v>
      </c>
      <c r="P9" s="20" t="n">
        <v>0</v>
      </c>
      <c r="Q9" s="18" t="n">
        <v>0</v>
      </c>
      <c r="R9" s="20" t="n">
        <v>0</v>
      </c>
    </row>
    <row r="10" spans="1:18">
      <c r="A10" s="15" t="s">
        <v>352</v>
      </c>
      <c r="B10" s="17" t="n">
        <v>10022</v>
      </c>
      <c r="C10" s="18">
        <f>(8849.0/B10*100)</f>
        <v/>
      </c>
      <c r="D10" s="19" t="n">
        <v>1173</v>
      </c>
      <c r="E10" s="18" t="n">
        <v>55.24180865</v>
      </c>
      <c r="F10" s="20" t="n">
        <v>2.07830281</v>
      </c>
      <c r="G10" s="18" t="n">
        <v>42.57119299</v>
      </c>
      <c r="H10" s="20" t="n">
        <v>2.02983773</v>
      </c>
      <c r="I10" s="18" t="s">
        <v>349</v>
      </c>
      <c r="J10" s="20" t="s">
        <v>349</v>
      </c>
      <c r="K10" s="18" t="n">
        <v>2.18699836</v>
      </c>
      <c r="L10" s="20" t="n">
        <v>0.56950607</v>
      </c>
      <c r="M10" s="18" t="n">
        <v>0</v>
      </c>
      <c r="N10" s="20" t="n">
        <v>0</v>
      </c>
      <c r="O10" s="18" t="n">
        <v>0</v>
      </c>
      <c r="P10" s="20" t="n">
        <v>0</v>
      </c>
      <c r="Q10" s="18" t="n">
        <v>0</v>
      </c>
      <c r="R10" s="20" t="n">
        <v>0</v>
      </c>
    </row>
    <row r="11" spans="1:18">
      <c r="A11" s="15" t="s">
        <v>353</v>
      </c>
      <c r="B11" s="17" t="n">
        <v>3500</v>
      </c>
      <c r="C11" s="18">
        <f>(3091.0/B11*100)</f>
        <v/>
      </c>
      <c r="D11" s="19" t="n">
        <v>409</v>
      </c>
      <c r="E11" s="18" t="n">
        <v>71.99417725000001</v>
      </c>
      <c r="F11" s="20" t="n">
        <v>2.0871087</v>
      </c>
      <c r="G11" s="18" t="n">
        <v>20.10614881</v>
      </c>
      <c r="H11" s="20" t="n">
        <v>1.91563841</v>
      </c>
      <c r="I11" s="18" t="s">
        <v>349</v>
      </c>
      <c r="J11" s="20" t="s">
        <v>349</v>
      </c>
      <c r="K11" s="18" t="n">
        <v>7.89967394</v>
      </c>
      <c r="L11" s="20" t="n">
        <v>1.35191278</v>
      </c>
      <c r="M11" s="18" t="n">
        <v>0</v>
      </c>
      <c r="N11" s="20" t="n">
        <v>0</v>
      </c>
      <c r="O11" s="18" t="n">
        <v>0</v>
      </c>
      <c r="P11" s="20" t="n">
        <v>0</v>
      </c>
      <c r="Q11" s="18" t="n">
        <v>0</v>
      </c>
      <c r="R11" s="20" t="n">
        <v>0</v>
      </c>
    </row>
    <row r="12" spans="1:18">
      <c r="A12" s="15" t="s">
        <v>354</v>
      </c>
      <c r="B12" s="17" t="n">
        <v>3422</v>
      </c>
      <c r="C12" s="18">
        <f>(3010.0/B12*100)</f>
        <v/>
      </c>
      <c r="D12" s="19" t="n">
        <v>412</v>
      </c>
      <c r="E12" s="18" t="n">
        <v>53.37936348</v>
      </c>
      <c r="F12" s="20" t="n">
        <v>2.51574363</v>
      </c>
      <c r="G12" s="18" t="n">
        <v>42.08230419</v>
      </c>
      <c r="H12" s="20" t="n">
        <v>2.36096746</v>
      </c>
      <c r="I12" s="18" t="s">
        <v>349</v>
      </c>
      <c r="J12" s="20" t="s">
        <v>349</v>
      </c>
      <c r="K12" s="18" t="n">
        <v>4.53833232</v>
      </c>
      <c r="L12" s="20" t="n">
        <v>1.25243989</v>
      </c>
      <c r="M12" s="18" t="n">
        <v>0</v>
      </c>
      <c r="N12" s="20" t="n">
        <v>0</v>
      </c>
      <c r="O12" s="18" t="n">
        <v>0</v>
      </c>
      <c r="P12" s="20" t="n">
        <v>0</v>
      </c>
      <c r="Q12" s="18" t="n">
        <v>0</v>
      </c>
      <c r="R12" s="20" t="n">
        <v>0</v>
      </c>
    </row>
    <row r="13" spans="1:18">
      <c r="A13" s="15" t="s">
        <v>355</v>
      </c>
      <c r="B13" s="17" t="n">
        <v>3602</v>
      </c>
      <c r="C13" s="18">
        <f>(3209.0/B13*100)</f>
        <v/>
      </c>
      <c r="D13" s="19" t="n">
        <v>393</v>
      </c>
      <c r="E13" s="18" t="n">
        <v>52.63429632</v>
      </c>
      <c r="F13" s="20" t="n">
        <v>2.9061864</v>
      </c>
      <c r="G13" s="18" t="n">
        <v>44.23460662</v>
      </c>
      <c r="H13" s="20" t="n">
        <v>2.94715609</v>
      </c>
      <c r="I13" s="18" t="s">
        <v>349</v>
      </c>
      <c r="J13" s="20" t="s">
        <v>349</v>
      </c>
      <c r="K13" s="18" t="n">
        <v>3.13109706</v>
      </c>
      <c r="L13" s="20" t="n">
        <v>0.98987463</v>
      </c>
      <c r="M13" s="18" t="n">
        <v>0</v>
      </c>
      <c r="N13" s="20" t="n">
        <v>0</v>
      </c>
      <c r="O13" s="18" t="n">
        <v>0</v>
      </c>
      <c r="P13" s="20" t="n">
        <v>0</v>
      </c>
      <c r="Q13" s="18" t="n">
        <v>0</v>
      </c>
      <c r="R13" s="20" t="n">
        <v>0</v>
      </c>
    </row>
    <row r="14" spans="1:18">
      <c r="A14" s="15" t="s">
        <v>356</v>
      </c>
      <c r="B14" s="17" t="n">
        <v>2788</v>
      </c>
      <c r="C14" s="18">
        <f>(2438.0/B14*100)</f>
        <v/>
      </c>
      <c r="D14" s="19" t="n">
        <v>350</v>
      </c>
      <c r="E14" s="18" t="n">
        <v>52.79992711</v>
      </c>
      <c r="F14" s="20" t="n">
        <v>2.68761167</v>
      </c>
      <c r="G14" s="18" t="n">
        <v>44.56106938</v>
      </c>
      <c r="H14" s="20" t="n">
        <v>2.77446852</v>
      </c>
      <c r="I14" s="18" t="s">
        <v>349</v>
      </c>
      <c r="J14" s="20" t="s">
        <v>349</v>
      </c>
      <c r="K14" s="18" t="n">
        <v>2.63900351</v>
      </c>
      <c r="L14" s="20" t="n">
        <v>1.08330756</v>
      </c>
      <c r="M14" s="18" t="n">
        <v>0</v>
      </c>
      <c r="N14" s="20" t="n">
        <v>0</v>
      </c>
      <c r="O14" s="18" t="n">
        <v>0</v>
      </c>
      <c r="P14" s="20" t="n">
        <v>0</v>
      </c>
      <c r="Q14" s="18" t="n">
        <v>0</v>
      </c>
      <c r="R14" s="20" t="n">
        <v>0</v>
      </c>
    </row>
    <row r="15" spans="1:18">
      <c r="A15" s="15" t="s">
        <v>357</v>
      </c>
      <c r="B15" s="17" t="n">
        <v>2863</v>
      </c>
      <c r="C15" s="18">
        <f>(2509.0/B15*100)</f>
        <v/>
      </c>
      <c r="D15" s="19" t="n">
        <v>354</v>
      </c>
      <c r="E15" s="18" t="n">
        <v>47.03481284</v>
      </c>
      <c r="F15" s="20" t="n">
        <v>2.99700631</v>
      </c>
      <c r="G15" s="18" t="n">
        <v>49.70165098</v>
      </c>
      <c r="H15" s="20" t="n">
        <v>3.09897963</v>
      </c>
      <c r="I15" s="18" t="s">
        <v>349</v>
      </c>
      <c r="J15" s="20" t="s">
        <v>349</v>
      </c>
      <c r="K15" s="18" t="n">
        <v>3.26353619</v>
      </c>
      <c r="L15" s="20" t="n">
        <v>1.06362237</v>
      </c>
      <c r="M15" s="18" t="n">
        <v>0</v>
      </c>
      <c r="N15" s="20" t="n">
        <v>0</v>
      </c>
      <c r="O15" s="18" t="n">
        <v>0</v>
      </c>
      <c r="P15" s="20" t="n">
        <v>0</v>
      </c>
      <c r="Q15" s="18" t="n">
        <v>0</v>
      </c>
      <c r="R15" s="20" t="n">
        <v>0</v>
      </c>
    </row>
    <row r="16" spans="1:18">
      <c r="A16" s="15" t="s">
        <v>358</v>
      </c>
      <c r="B16" s="17" t="n">
        <v>3111</v>
      </c>
      <c r="C16" s="18">
        <f>(2737.0/B16*100)</f>
        <v/>
      </c>
      <c r="D16" s="19" t="n">
        <v>374</v>
      </c>
      <c r="E16" s="18" t="n">
        <v>59.75439076</v>
      </c>
      <c r="F16" s="20" t="n">
        <v>3.04015239</v>
      </c>
      <c r="G16" s="18" t="n">
        <v>33.93792696</v>
      </c>
      <c r="H16" s="20" t="n">
        <v>2.80074769</v>
      </c>
      <c r="I16" s="18" t="s">
        <v>349</v>
      </c>
      <c r="J16" s="20" t="s">
        <v>349</v>
      </c>
      <c r="K16" s="18" t="n">
        <v>6.30768228</v>
      </c>
      <c r="L16" s="20" t="n">
        <v>1.30449444</v>
      </c>
      <c r="M16" s="18" t="n">
        <v>0</v>
      </c>
      <c r="N16" s="20" t="n">
        <v>0</v>
      </c>
      <c r="O16" s="18" t="n">
        <v>0</v>
      </c>
      <c r="P16" s="20" t="n">
        <v>0</v>
      </c>
      <c r="Q16" s="18" t="n">
        <v>0</v>
      </c>
      <c r="R16" s="20" t="n">
        <v>0</v>
      </c>
    </row>
    <row r="17" spans="1:18">
      <c r="A17" s="15" t="s">
        <v>359</v>
      </c>
      <c r="B17" s="17" t="n">
        <v>3197</v>
      </c>
      <c r="C17" s="18">
        <f>(2817.0/B17*100)</f>
        <v/>
      </c>
      <c r="D17" s="19" t="n">
        <v>380</v>
      </c>
      <c r="E17" s="18" t="n">
        <v>57.9815346</v>
      </c>
      <c r="F17" s="20" t="n">
        <v>2.92098816</v>
      </c>
      <c r="G17" s="18" t="n">
        <v>38.9189475</v>
      </c>
      <c r="H17" s="20" t="n">
        <v>2.93893609</v>
      </c>
      <c r="I17" s="18" t="s">
        <v>349</v>
      </c>
      <c r="J17" s="20" t="s">
        <v>349</v>
      </c>
      <c r="K17" s="18" t="n">
        <v>3.09951789</v>
      </c>
      <c r="L17" s="20" t="n">
        <v>0.88555503</v>
      </c>
      <c r="M17" s="18" t="n">
        <v>0</v>
      </c>
      <c r="N17" s="20" t="n">
        <v>0</v>
      </c>
      <c r="O17" s="18" t="n">
        <v>0</v>
      </c>
      <c r="P17" s="20" t="n">
        <v>0</v>
      </c>
      <c r="Q17" s="18" t="n">
        <v>0</v>
      </c>
      <c r="R17" s="20" t="n">
        <v>0</v>
      </c>
    </row>
    <row r="18" spans="1:18">
      <c r="A18" s="15" t="s">
        <v>360</v>
      </c>
      <c r="B18" s="17" t="n">
        <v>2706</v>
      </c>
      <c r="C18" s="18">
        <f>(2396.0/B18*100)</f>
        <v/>
      </c>
      <c r="D18" s="19" t="n">
        <v>310</v>
      </c>
      <c r="E18" s="18" t="n">
        <v>74.17970683</v>
      </c>
      <c r="F18" s="20" t="n">
        <v>2.78050731</v>
      </c>
      <c r="G18" s="18" t="n">
        <v>20.15999414</v>
      </c>
      <c r="H18" s="20" t="n">
        <v>2.6484014</v>
      </c>
      <c r="I18" s="18" t="s">
        <v>349</v>
      </c>
      <c r="J18" s="20" t="s">
        <v>349</v>
      </c>
      <c r="K18" s="18" t="n">
        <v>5.66029903</v>
      </c>
      <c r="L18" s="20" t="n">
        <v>1.19313655</v>
      </c>
      <c r="M18" s="18" t="n">
        <v>0</v>
      </c>
      <c r="N18" s="20" t="n">
        <v>0</v>
      </c>
      <c r="O18" s="18" t="n">
        <v>0</v>
      </c>
      <c r="P18" s="20" t="n">
        <v>0</v>
      </c>
      <c r="Q18" s="18" t="n">
        <v>0</v>
      </c>
      <c r="R18" s="20" t="n">
        <v>0</v>
      </c>
    </row>
    <row r="19" spans="1:18">
      <c r="A19" s="15" t="s">
        <v>361</v>
      </c>
      <c r="B19" s="17" t="n">
        <v>2850</v>
      </c>
      <c r="C19" s="18">
        <f>(2497.0/B19*100)</f>
        <v/>
      </c>
      <c r="D19" s="19" t="n">
        <v>353</v>
      </c>
      <c r="E19" s="18" t="n">
        <v>55.59835796</v>
      </c>
      <c r="F19" s="20" t="n">
        <v>2.98758553</v>
      </c>
      <c r="G19" s="18" t="n">
        <v>36.17975411</v>
      </c>
      <c r="H19" s="20" t="n">
        <v>3.0895235</v>
      </c>
      <c r="I19" s="18" t="s">
        <v>349</v>
      </c>
      <c r="J19" s="20" t="s">
        <v>349</v>
      </c>
      <c r="K19" s="18" t="n">
        <v>8.221887929999999</v>
      </c>
      <c r="L19" s="20" t="n">
        <v>1.83022744</v>
      </c>
      <c r="M19" s="18" t="n">
        <v>0</v>
      </c>
      <c r="N19" s="20" t="n">
        <v>0</v>
      </c>
      <c r="O19" s="18" t="n">
        <v>0</v>
      </c>
      <c r="P19" s="20" t="n">
        <v>0</v>
      </c>
      <c r="Q19" s="18" t="n">
        <v>0</v>
      </c>
      <c r="R19" s="20" t="n">
        <v>0</v>
      </c>
    </row>
    <row r="20" spans="1:18">
      <c r="A20" s="15" t="s">
        <v>362</v>
      </c>
      <c r="B20" s="17" t="n">
        <v>1741</v>
      </c>
      <c r="C20" s="18">
        <f>(1526.0/B20*100)</f>
        <v/>
      </c>
      <c r="D20" s="19" t="n">
        <v>215</v>
      </c>
      <c r="E20" s="18" t="n">
        <v>57.79144349</v>
      </c>
      <c r="F20" s="20" t="n">
        <v>3.96699872</v>
      </c>
      <c r="G20" s="18" t="n">
        <v>36.84565655</v>
      </c>
      <c r="H20" s="20" t="n">
        <v>3.63465573</v>
      </c>
      <c r="I20" s="18" t="s">
        <v>349</v>
      </c>
      <c r="J20" s="20" t="s">
        <v>349</v>
      </c>
      <c r="K20" s="18" t="n">
        <v>5.36289996</v>
      </c>
      <c r="L20" s="20" t="n">
        <v>1.70157346</v>
      </c>
      <c r="M20" s="18" t="n">
        <v>0</v>
      </c>
      <c r="N20" s="20" t="n">
        <v>0</v>
      </c>
      <c r="O20" s="18" t="n">
        <v>0</v>
      </c>
      <c r="P20" s="20" t="n">
        <v>0</v>
      </c>
      <c r="Q20" s="18" t="n">
        <v>0</v>
      </c>
      <c r="R20" s="20" t="n">
        <v>0</v>
      </c>
    </row>
    <row r="21" spans="1:18">
      <c r="A21" s="15" t="s">
        <v>363</v>
      </c>
      <c r="B21" s="17" t="n">
        <v>2833</v>
      </c>
      <c r="C21" s="18">
        <f>(2381.0/B21*100)</f>
        <v/>
      </c>
      <c r="D21" s="19" t="n">
        <v>452</v>
      </c>
      <c r="E21" s="18" t="n">
        <v>66.61157092000001</v>
      </c>
      <c r="F21" s="20" t="n">
        <v>2.35313729</v>
      </c>
      <c r="G21" s="18" t="n">
        <v>31.33533072</v>
      </c>
      <c r="H21" s="20" t="n">
        <v>2.36549609</v>
      </c>
      <c r="I21" s="18" t="s">
        <v>349</v>
      </c>
      <c r="J21" s="20" t="s">
        <v>349</v>
      </c>
      <c r="K21" s="18" t="n">
        <v>2.05309836</v>
      </c>
      <c r="L21" s="20" t="n">
        <v>0.65840107</v>
      </c>
      <c r="M21" s="18" t="n">
        <v>0</v>
      </c>
      <c r="N21" s="20" t="n">
        <v>0</v>
      </c>
      <c r="O21" s="18" t="n">
        <v>0</v>
      </c>
      <c r="P21" s="20" t="n">
        <v>0</v>
      </c>
      <c r="Q21" s="18" t="n">
        <v>0</v>
      </c>
      <c r="R21" s="20" t="n">
        <v>0</v>
      </c>
    </row>
    <row r="22" spans="1:18">
      <c r="A22" s="15" t="s">
        <v>364</v>
      </c>
      <c r="B22" s="17" t="n">
        <v>3667</v>
      </c>
      <c r="C22" s="18">
        <f>(3219.0/B22*100)</f>
        <v/>
      </c>
      <c r="D22" s="19" t="n">
        <v>448</v>
      </c>
      <c r="E22" s="18" t="n">
        <v>65.42391465</v>
      </c>
      <c r="F22" s="20" t="n">
        <v>2.60103746</v>
      </c>
      <c r="G22" s="18" t="n">
        <v>26.25002191</v>
      </c>
      <c r="H22" s="20" t="n">
        <v>2.48692433</v>
      </c>
      <c r="I22" s="18" t="s">
        <v>349</v>
      </c>
      <c r="J22" s="20" t="s">
        <v>349</v>
      </c>
      <c r="K22" s="18" t="n">
        <v>8.32606344</v>
      </c>
      <c r="L22" s="20" t="n">
        <v>1.48143857</v>
      </c>
      <c r="M22" s="18" t="n">
        <v>0</v>
      </c>
      <c r="N22" s="20" t="n">
        <v>0</v>
      </c>
      <c r="O22" s="18" t="n">
        <v>0</v>
      </c>
      <c r="P22" s="20" t="n">
        <v>0</v>
      </c>
      <c r="Q22" s="18" t="n">
        <v>0</v>
      </c>
      <c r="R22" s="20" t="n">
        <v>0</v>
      </c>
    </row>
    <row r="23" spans="1:18">
      <c r="A23" s="15" t="s">
        <v>365</v>
      </c>
      <c r="B23" s="17" t="n">
        <v>5792</v>
      </c>
      <c r="C23" s="18">
        <f>(5069.0/B23*100)</f>
        <v/>
      </c>
      <c r="D23" s="19" t="n">
        <v>723</v>
      </c>
      <c r="E23" s="18" t="n">
        <v>66.42908119000001</v>
      </c>
      <c r="F23" s="20" t="n">
        <v>2.42124104</v>
      </c>
      <c r="G23" s="18" t="n">
        <v>26.3946052</v>
      </c>
      <c r="H23" s="20" t="n">
        <v>2.379402</v>
      </c>
      <c r="I23" s="18" t="s">
        <v>349</v>
      </c>
      <c r="J23" s="20" t="s">
        <v>349</v>
      </c>
      <c r="K23" s="18" t="n">
        <v>7.1763136</v>
      </c>
      <c r="L23" s="20" t="n">
        <v>1.3802478</v>
      </c>
      <c r="M23" s="18" t="n">
        <v>0</v>
      </c>
      <c r="N23" s="20" t="n">
        <v>0</v>
      </c>
      <c r="O23" s="18" t="n">
        <v>0</v>
      </c>
      <c r="P23" s="20" t="n">
        <v>0</v>
      </c>
      <c r="Q23" s="18" t="n">
        <v>0</v>
      </c>
      <c r="R23" s="20" t="n">
        <v>0</v>
      </c>
    </row>
    <row r="24" spans="1:18">
      <c r="A24" s="15" t="s">
        <v>366</v>
      </c>
      <c r="B24" s="17" t="n">
        <v>3309</v>
      </c>
      <c r="C24" s="18">
        <f>(2891.0/B24*100)</f>
        <v/>
      </c>
      <c r="D24" s="19" t="n">
        <v>418</v>
      </c>
      <c r="E24" s="18" t="n">
        <v>48.93336017</v>
      </c>
      <c r="F24" s="20" t="n">
        <v>2.34954729</v>
      </c>
      <c r="G24" s="18" t="n">
        <v>48.35603995</v>
      </c>
      <c r="H24" s="20" t="n">
        <v>2.27260263</v>
      </c>
      <c r="I24" s="18" t="s">
        <v>349</v>
      </c>
      <c r="J24" s="20" t="s">
        <v>349</v>
      </c>
      <c r="K24" s="18" t="n">
        <v>2.71059987</v>
      </c>
      <c r="L24" s="20" t="n">
        <v>1.01978294</v>
      </c>
      <c r="M24" s="18" t="n">
        <v>0</v>
      </c>
      <c r="N24" s="20" t="n">
        <v>0</v>
      </c>
      <c r="O24" s="18" t="n">
        <v>0</v>
      </c>
      <c r="P24" s="20" t="n">
        <v>0</v>
      </c>
      <c r="Q24" s="18" t="n">
        <v>0</v>
      </c>
      <c r="R24" s="20" t="n">
        <v>0</v>
      </c>
    </row>
    <row r="25" spans="1:18">
      <c r="A25" s="15" t="s">
        <v>367</v>
      </c>
      <c r="B25" s="17" t="n">
        <v>2669</v>
      </c>
      <c r="C25" s="18">
        <f>(2340.0/B25*100)</f>
        <v/>
      </c>
      <c r="D25" s="19" t="n">
        <v>329</v>
      </c>
      <c r="E25" s="18" t="n">
        <v>52.56313936</v>
      </c>
      <c r="F25" s="20" t="n">
        <v>2.74534893</v>
      </c>
      <c r="G25" s="18" t="n">
        <v>46.47949584</v>
      </c>
      <c r="H25" s="20" t="n">
        <v>2.61352876</v>
      </c>
      <c r="I25" s="18" t="s">
        <v>349</v>
      </c>
      <c r="J25" s="20" t="s">
        <v>349</v>
      </c>
      <c r="K25" s="18" t="n">
        <v>0.9573648</v>
      </c>
      <c r="L25" s="20" t="n">
        <v>0.5522135</v>
      </c>
      <c r="M25" s="18" t="n">
        <v>0</v>
      </c>
      <c r="N25" s="20" t="n">
        <v>0</v>
      </c>
      <c r="O25" s="18" t="n">
        <v>0</v>
      </c>
      <c r="P25" s="20" t="n">
        <v>0</v>
      </c>
      <c r="Q25" s="18" t="n">
        <v>0</v>
      </c>
      <c r="R25" s="20" t="n">
        <v>0</v>
      </c>
    </row>
    <row r="26" spans="1:18">
      <c r="A26" s="15" t="s">
        <v>368</v>
      </c>
      <c r="B26" s="17" t="n">
        <v>2419</v>
      </c>
      <c r="C26" s="18">
        <f>(2127.0/B26*100)</f>
        <v/>
      </c>
      <c r="D26" s="19" t="n">
        <v>292</v>
      </c>
      <c r="E26" s="18" t="n">
        <v>59.597806</v>
      </c>
      <c r="F26" s="20" t="n">
        <v>2.8871582</v>
      </c>
      <c r="G26" s="18" t="n">
        <v>39.27986552</v>
      </c>
      <c r="H26" s="20" t="n">
        <v>2.79494927</v>
      </c>
      <c r="I26" s="18" t="s">
        <v>349</v>
      </c>
      <c r="J26" s="20" t="s">
        <v>349</v>
      </c>
      <c r="K26" s="18" t="n">
        <v>1.12232848</v>
      </c>
      <c r="L26" s="20" t="n">
        <v>0.57023742</v>
      </c>
      <c r="M26" s="18" t="n">
        <v>0</v>
      </c>
      <c r="N26" s="20" t="n">
        <v>0</v>
      </c>
      <c r="O26" s="18" t="n">
        <v>0</v>
      </c>
      <c r="P26" s="20" t="n">
        <v>0</v>
      </c>
      <c r="Q26" s="18" t="n">
        <v>0</v>
      </c>
      <c r="R26" s="20" t="n">
        <v>0</v>
      </c>
    </row>
    <row r="27" spans="1:18">
      <c r="A27" s="15" t="s">
        <v>369</v>
      </c>
      <c r="B27" s="17" t="n">
        <v>2683</v>
      </c>
      <c r="C27" s="18">
        <f>(2379.0/B27*100)</f>
        <v/>
      </c>
      <c r="D27" s="19" t="n">
        <v>304</v>
      </c>
      <c r="E27" s="18" t="n">
        <v>61.97612302</v>
      </c>
      <c r="F27" s="20" t="n">
        <v>2.61872137</v>
      </c>
      <c r="G27" s="18" t="n">
        <v>35.06056341</v>
      </c>
      <c r="H27" s="20" t="n">
        <v>2.47189577</v>
      </c>
      <c r="I27" s="18" t="s">
        <v>349</v>
      </c>
      <c r="J27" s="20" t="s">
        <v>349</v>
      </c>
      <c r="K27" s="18" t="n">
        <v>2.96331357</v>
      </c>
      <c r="L27" s="20" t="n">
        <v>0.85599574</v>
      </c>
      <c r="M27" s="18" t="n">
        <v>0</v>
      </c>
      <c r="N27" s="20" t="n">
        <v>0</v>
      </c>
      <c r="O27" s="18" t="n">
        <v>0</v>
      </c>
      <c r="P27" s="20" t="n">
        <v>0</v>
      </c>
      <c r="Q27" s="18" t="n">
        <v>0</v>
      </c>
      <c r="R27" s="20" t="n">
        <v>0</v>
      </c>
    </row>
    <row r="28" spans="1:18">
      <c r="A28" s="15" t="s">
        <v>370</v>
      </c>
      <c r="B28" s="17" t="n">
        <v>3803</v>
      </c>
      <c r="C28" s="18">
        <f>(3400.0/B28*100)</f>
        <v/>
      </c>
      <c r="D28" s="19" t="n">
        <v>403</v>
      </c>
      <c r="E28" s="18" t="n">
        <v>81.63262892</v>
      </c>
      <c r="F28" s="20" t="n">
        <v>2.04726713</v>
      </c>
      <c r="G28" s="18" t="n">
        <v>16.24805948</v>
      </c>
      <c r="H28" s="20" t="n">
        <v>2.00316415</v>
      </c>
      <c r="I28" s="18" t="s">
        <v>349</v>
      </c>
      <c r="J28" s="20" t="s">
        <v>349</v>
      </c>
      <c r="K28" s="18" t="n">
        <v>2.11931161</v>
      </c>
      <c r="L28" s="20" t="n">
        <v>0.73850737</v>
      </c>
      <c r="M28" s="18" t="n">
        <v>0</v>
      </c>
      <c r="N28" s="20" t="n">
        <v>0</v>
      </c>
      <c r="O28" s="18" t="n">
        <v>0</v>
      </c>
      <c r="P28" s="20" t="n">
        <v>0</v>
      </c>
      <c r="Q28" s="18" t="n">
        <v>0</v>
      </c>
      <c r="R28" s="20" t="n">
        <v>0</v>
      </c>
    </row>
    <row r="29" spans="1:18">
      <c r="A29" s="15" t="s">
        <v>371</v>
      </c>
      <c r="B29" s="17" t="n">
        <v>2700</v>
      </c>
      <c r="C29" s="18">
        <f>(2389.0/B29*100)</f>
        <v/>
      </c>
      <c r="D29" s="19" t="n">
        <v>311</v>
      </c>
      <c r="E29" s="18" t="n">
        <v>54.45855955</v>
      </c>
      <c r="F29" s="20" t="n">
        <v>2.87958226</v>
      </c>
      <c r="G29" s="18" t="n">
        <v>44.60782672</v>
      </c>
      <c r="H29" s="20" t="n">
        <v>2.90920903</v>
      </c>
      <c r="I29" s="18" t="s">
        <v>349</v>
      </c>
      <c r="J29" s="20" t="s">
        <v>349</v>
      </c>
      <c r="K29" s="18" t="n">
        <v>0.93361373</v>
      </c>
      <c r="L29" s="20" t="n">
        <v>0.62317789</v>
      </c>
      <c r="M29" s="18" t="n">
        <v>0</v>
      </c>
      <c r="N29" s="20" t="n">
        <v>0</v>
      </c>
      <c r="O29" s="18" t="n">
        <v>0</v>
      </c>
      <c r="P29" s="20" t="n">
        <v>0</v>
      </c>
      <c r="Q29" s="18" t="n">
        <v>0</v>
      </c>
      <c r="R29" s="20" t="n">
        <v>0</v>
      </c>
    </row>
    <row r="30" spans="1:18">
      <c r="A30" s="15" t="s">
        <v>372</v>
      </c>
      <c r="B30" s="17" t="n">
        <v>2257</v>
      </c>
      <c r="C30" s="18">
        <f>(1976.0/B30*100)</f>
        <v/>
      </c>
      <c r="D30" s="19" t="n">
        <v>281</v>
      </c>
      <c r="E30" s="18" t="n">
        <v>60.36751526</v>
      </c>
      <c r="F30" s="20" t="n">
        <v>3.27124628</v>
      </c>
      <c r="G30" s="18" t="n">
        <v>34.66595844</v>
      </c>
      <c r="H30" s="20" t="n">
        <v>3.09913097</v>
      </c>
      <c r="I30" s="18" t="s">
        <v>349</v>
      </c>
      <c r="J30" s="20" t="s">
        <v>349</v>
      </c>
      <c r="K30" s="18" t="n">
        <v>4.96652629</v>
      </c>
      <c r="L30" s="20" t="n">
        <v>1.16852336</v>
      </c>
      <c r="M30" s="18" t="n">
        <v>0</v>
      </c>
      <c r="N30" s="20" t="n">
        <v>0</v>
      </c>
      <c r="O30" s="18" t="n">
        <v>0</v>
      </c>
      <c r="P30" s="20" t="n">
        <v>0</v>
      </c>
      <c r="Q30" s="18" t="n">
        <v>0</v>
      </c>
      <c r="R30" s="20" t="n">
        <v>0</v>
      </c>
    </row>
    <row r="31" spans="1:18">
      <c r="A31" s="15" t="s">
        <v>373</v>
      </c>
      <c r="B31" s="17" t="n">
        <v>2706</v>
      </c>
      <c r="C31" s="18">
        <f>(2386.0/B31*100)</f>
        <v/>
      </c>
      <c r="D31" s="19" t="n">
        <v>320</v>
      </c>
      <c r="E31" s="18" t="n">
        <v>58.25560355</v>
      </c>
      <c r="F31" s="20" t="n">
        <v>2.5026624</v>
      </c>
      <c r="G31" s="18" t="n">
        <v>35.73379854</v>
      </c>
      <c r="H31" s="20" t="n">
        <v>2.54872259</v>
      </c>
      <c r="I31" s="18" t="s">
        <v>349</v>
      </c>
      <c r="J31" s="20" t="s">
        <v>349</v>
      </c>
      <c r="K31" s="18" t="n">
        <v>6.01059791</v>
      </c>
      <c r="L31" s="20" t="n">
        <v>1.40557401</v>
      </c>
      <c r="M31" s="18" t="n">
        <v>0</v>
      </c>
      <c r="N31" s="20" t="n">
        <v>0</v>
      </c>
      <c r="O31" s="18" t="n">
        <v>0</v>
      </c>
      <c r="P31" s="20" t="n">
        <v>0</v>
      </c>
      <c r="Q31" s="18" t="n">
        <v>0</v>
      </c>
      <c r="R31" s="20" t="n">
        <v>0</v>
      </c>
    </row>
    <row r="32" spans="1:18">
      <c r="A32" s="15" t="s">
        <v>374</v>
      </c>
      <c r="B32" s="17" t="n">
        <v>2209</v>
      </c>
      <c r="C32" s="18">
        <f>(1860.0/B32*100)</f>
        <v/>
      </c>
      <c r="D32" s="19" t="n">
        <v>349</v>
      </c>
      <c r="E32" s="18" t="n">
        <v>62.39864142</v>
      </c>
      <c r="F32" s="20" t="n">
        <v>2.73837355</v>
      </c>
      <c r="G32" s="18" t="n">
        <v>35.20907424</v>
      </c>
      <c r="H32" s="20" t="n">
        <v>2.58541242</v>
      </c>
      <c r="I32" s="18" t="s">
        <v>349</v>
      </c>
      <c r="J32" s="20" t="s">
        <v>349</v>
      </c>
      <c r="K32" s="18" t="n">
        <v>2.39228434</v>
      </c>
      <c r="L32" s="20" t="n">
        <v>0.86092184</v>
      </c>
      <c r="M32" s="18" t="n">
        <v>0</v>
      </c>
      <c r="N32" s="20" t="n">
        <v>0</v>
      </c>
      <c r="O32" s="18" t="n">
        <v>0</v>
      </c>
      <c r="P32" s="20" t="n">
        <v>0</v>
      </c>
      <c r="Q32" s="18" t="n">
        <v>0</v>
      </c>
      <c r="R32" s="20" t="n">
        <v>0</v>
      </c>
    </row>
    <row r="33" spans="1:18">
      <c r="A33" s="15" t="s">
        <v>375</v>
      </c>
      <c r="B33" s="17" t="n">
        <v>3651</v>
      </c>
      <c r="C33" s="18">
        <f>(3239.0/B33*100)</f>
        <v/>
      </c>
      <c r="D33" s="19" t="n">
        <v>412</v>
      </c>
      <c r="E33" s="18" t="n">
        <v>59.25130833</v>
      </c>
      <c r="F33" s="20" t="n">
        <v>2.63877723</v>
      </c>
      <c r="G33" s="18" t="n">
        <v>35.73190686</v>
      </c>
      <c r="H33" s="20" t="n">
        <v>2.41028562</v>
      </c>
      <c r="I33" s="18" t="s">
        <v>349</v>
      </c>
      <c r="J33" s="20" t="s">
        <v>349</v>
      </c>
      <c r="K33" s="18" t="n">
        <v>5.0167848</v>
      </c>
      <c r="L33" s="20" t="n">
        <v>1.10632722</v>
      </c>
      <c r="M33" s="18" t="n">
        <v>0</v>
      </c>
      <c r="N33" s="20" t="n">
        <v>0</v>
      </c>
      <c r="O33" s="18" t="n">
        <v>0</v>
      </c>
      <c r="P33" s="20" t="n">
        <v>0</v>
      </c>
      <c r="Q33" s="18" t="n">
        <v>0</v>
      </c>
      <c r="R33" s="20" t="n">
        <v>0</v>
      </c>
    </row>
    <row r="34" spans="1:18">
      <c r="A34" s="15" t="s">
        <v>376</v>
      </c>
      <c r="B34" s="17" t="n">
        <v>3035</v>
      </c>
      <c r="C34" s="18">
        <f>(2688.0/B34*100)</f>
        <v/>
      </c>
      <c r="D34" s="19" t="n">
        <v>347</v>
      </c>
      <c r="E34" s="18" t="n">
        <v>63.13854073</v>
      </c>
      <c r="F34" s="20" t="n">
        <v>2.88393037</v>
      </c>
      <c r="G34" s="18" t="n">
        <v>33.12533442</v>
      </c>
      <c r="H34" s="20" t="n">
        <v>2.89617085</v>
      </c>
      <c r="I34" s="18" t="s">
        <v>349</v>
      </c>
      <c r="J34" s="20" t="s">
        <v>349</v>
      </c>
      <c r="K34" s="18" t="n">
        <v>3.73612486</v>
      </c>
      <c r="L34" s="20" t="n">
        <v>1.14316358</v>
      </c>
      <c r="M34" s="18" t="n">
        <v>0</v>
      </c>
      <c r="N34" s="20" t="n">
        <v>0</v>
      </c>
      <c r="O34" s="18" t="n">
        <v>0</v>
      </c>
      <c r="P34" s="20" t="n">
        <v>0</v>
      </c>
      <c r="Q34" s="18" t="n">
        <v>0</v>
      </c>
      <c r="R34" s="20" t="n">
        <v>0</v>
      </c>
    </row>
    <row r="35" spans="1:18">
      <c r="A35" s="15" t="s">
        <v>377</v>
      </c>
      <c r="B35" s="17" t="n">
        <v>2901</v>
      </c>
      <c r="C35" s="18">
        <f>(2549.0/B35*100)</f>
        <v/>
      </c>
      <c r="D35" s="19" t="n">
        <v>352</v>
      </c>
      <c r="E35" s="18" t="n">
        <v>55.53253783</v>
      </c>
      <c r="F35" s="20" t="n">
        <v>3.6416163</v>
      </c>
      <c r="G35" s="18" t="n">
        <v>39.80809049</v>
      </c>
      <c r="H35" s="20" t="n">
        <v>3.57806848</v>
      </c>
      <c r="I35" s="18" t="s">
        <v>349</v>
      </c>
      <c r="J35" s="20" t="s">
        <v>349</v>
      </c>
      <c r="K35" s="18" t="n">
        <v>4.65937168</v>
      </c>
      <c r="L35" s="20" t="n">
        <v>1.55018857</v>
      </c>
      <c r="M35" s="18" t="n">
        <v>0</v>
      </c>
      <c r="N35" s="20" t="n">
        <v>0</v>
      </c>
      <c r="O35" s="18" t="n">
        <v>0</v>
      </c>
      <c r="P35" s="20" t="n">
        <v>0</v>
      </c>
      <c r="Q35" s="18" t="n">
        <v>0</v>
      </c>
      <c r="R35" s="20" t="n">
        <v>0</v>
      </c>
    </row>
    <row r="36" spans="1:18">
      <c r="A36" s="15" t="s">
        <v>378</v>
      </c>
      <c r="B36" s="17" t="n">
        <v>3404</v>
      </c>
      <c r="C36" s="18">
        <f>(3025.0/B36*100)</f>
        <v/>
      </c>
      <c r="D36" s="19" t="n">
        <v>379</v>
      </c>
      <c r="E36" s="18" t="n">
        <v>66.90792136</v>
      </c>
      <c r="F36" s="20" t="n">
        <v>2.65540609</v>
      </c>
      <c r="G36" s="18" t="n">
        <v>27.65604558</v>
      </c>
      <c r="H36" s="20" t="n">
        <v>2.58043485</v>
      </c>
      <c r="I36" s="18" t="s">
        <v>349</v>
      </c>
      <c r="J36" s="20" t="s">
        <v>349</v>
      </c>
      <c r="K36" s="18" t="n">
        <v>5.43603306</v>
      </c>
      <c r="L36" s="20" t="n">
        <v>1.45775646</v>
      </c>
      <c r="M36" s="18" t="n">
        <v>0</v>
      </c>
      <c r="N36" s="20" t="n">
        <v>0</v>
      </c>
      <c r="O36" s="18" t="n">
        <v>0</v>
      </c>
      <c r="P36" s="20" t="n">
        <v>0</v>
      </c>
      <c r="Q36" s="18" t="n">
        <v>0</v>
      </c>
      <c r="R36" s="20" t="n">
        <v>0</v>
      </c>
    </row>
    <row r="37" spans="1:18">
      <c r="A37" s="15" t="s">
        <v>379</v>
      </c>
      <c r="B37" s="17" t="n">
        <v>2731</v>
      </c>
      <c r="C37" s="18">
        <f>(2438.0/B37*100)</f>
        <v/>
      </c>
      <c r="D37" s="19" t="n">
        <v>293</v>
      </c>
      <c r="E37" s="18" t="n">
        <v>56.32333533</v>
      </c>
      <c r="F37" s="20" t="n">
        <v>2.90942531</v>
      </c>
      <c r="G37" s="18" t="n">
        <v>35.80851766</v>
      </c>
      <c r="H37" s="20" t="n">
        <v>2.89631855</v>
      </c>
      <c r="I37" s="18" t="s">
        <v>349</v>
      </c>
      <c r="J37" s="20" t="s">
        <v>349</v>
      </c>
      <c r="K37" s="18" t="n">
        <v>7.86814701</v>
      </c>
      <c r="L37" s="20" t="n">
        <v>1.65569295</v>
      </c>
      <c r="M37" s="18" t="n">
        <v>0</v>
      </c>
      <c r="N37" s="20" t="n">
        <v>0</v>
      </c>
      <c r="O37" s="18" t="n">
        <v>0</v>
      </c>
      <c r="P37" s="20" t="n">
        <v>0</v>
      </c>
      <c r="Q37" s="18" t="n">
        <v>0</v>
      </c>
      <c r="R37" s="20" t="n">
        <v>0</v>
      </c>
    </row>
    <row r="38" spans="1:18">
      <c r="A38" s="15" t="s">
        <v>380</v>
      </c>
      <c r="B38" s="17" t="n">
        <v>2807</v>
      </c>
      <c r="C38" s="18">
        <f>(2351.0/B38*100)</f>
        <v/>
      </c>
      <c r="D38" s="19" t="n">
        <v>456</v>
      </c>
      <c r="E38" s="18" t="n">
        <v>50.35153377</v>
      </c>
      <c r="F38" s="20" t="n">
        <v>2.81796172</v>
      </c>
      <c r="G38" s="18" t="n">
        <v>43.59108062</v>
      </c>
      <c r="H38" s="20" t="n">
        <v>2.72334692</v>
      </c>
      <c r="I38" s="18" t="s">
        <v>349</v>
      </c>
      <c r="J38" s="20" t="s">
        <v>349</v>
      </c>
      <c r="K38" s="18" t="n">
        <v>6.05738562</v>
      </c>
      <c r="L38" s="20" t="n">
        <v>1.22543047</v>
      </c>
      <c r="M38" s="18" t="n">
        <v>0</v>
      </c>
      <c r="N38" s="20" t="n">
        <v>0</v>
      </c>
      <c r="O38" s="18" t="n">
        <v>0</v>
      </c>
      <c r="P38" s="20" t="n">
        <v>0</v>
      </c>
      <c r="Q38" s="18" t="n">
        <v>0</v>
      </c>
      <c r="R38" s="20" t="n">
        <v>0</v>
      </c>
    </row>
    <row r="39" spans="1:18">
      <c r="A39" s="15" t="s">
        <v>381</v>
      </c>
      <c r="B39" s="17" t="n">
        <v>2938</v>
      </c>
      <c r="C39" s="18">
        <f>(2578.0/B39*100)</f>
        <v/>
      </c>
      <c r="D39" s="19" t="n">
        <v>360</v>
      </c>
      <c r="E39" s="18" t="n">
        <v>76.99462317</v>
      </c>
      <c r="F39" s="20" t="n">
        <v>2.92635152</v>
      </c>
      <c r="G39" s="18" t="n">
        <v>18.34486718</v>
      </c>
      <c r="H39" s="20" t="n">
        <v>2.73509343</v>
      </c>
      <c r="I39" s="18" t="s">
        <v>349</v>
      </c>
      <c r="J39" s="20" t="s">
        <v>349</v>
      </c>
      <c r="K39" s="18" t="n">
        <v>4.66050965</v>
      </c>
      <c r="L39" s="20" t="n">
        <v>1.03816563</v>
      </c>
      <c r="M39" s="18" t="n">
        <v>0</v>
      </c>
      <c r="N39" s="20" t="n">
        <v>0</v>
      </c>
      <c r="O39" s="18" t="n">
        <v>0</v>
      </c>
      <c r="P39" s="20" t="n">
        <v>0</v>
      </c>
      <c r="Q39" s="18" t="n">
        <v>0</v>
      </c>
      <c r="R39" s="20" t="n">
        <v>0</v>
      </c>
    </row>
    <row r="40" spans="1:18">
      <c r="A40" s="15" t="s">
        <v>382</v>
      </c>
      <c r="B40" s="17" t="n">
        <v>6922</v>
      </c>
      <c r="C40" s="18">
        <f>(6080.0/B40*100)</f>
        <v/>
      </c>
      <c r="D40" s="19" t="n">
        <v>842</v>
      </c>
      <c r="E40" s="18" t="n">
        <v>64.45943975</v>
      </c>
      <c r="F40" s="20" t="n">
        <v>2.14364205</v>
      </c>
      <c r="G40" s="18" t="n">
        <v>32.67371837</v>
      </c>
      <c r="H40" s="20" t="n">
        <v>2.22759256</v>
      </c>
      <c r="I40" s="18" t="s">
        <v>349</v>
      </c>
      <c r="J40" s="20" t="s">
        <v>349</v>
      </c>
      <c r="K40" s="18" t="n">
        <v>2.86684188</v>
      </c>
      <c r="L40" s="20" t="n">
        <v>0.75997587</v>
      </c>
      <c r="M40" s="18" t="n">
        <v>0</v>
      </c>
      <c r="N40" s="20" t="n">
        <v>0</v>
      </c>
      <c r="O40" s="18" t="n">
        <v>0</v>
      </c>
      <c r="P40" s="20" t="n">
        <v>0</v>
      </c>
      <c r="Q40" s="18" t="n">
        <v>0</v>
      </c>
      <c r="R40" s="20" t="n">
        <v>0</v>
      </c>
    </row>
    <row r="41" spans="1:18">
      <c r="A41" s="15" t="s">
        <v>383</v>
      </c>
      <c r="B41" s="17" t="n">
        <v>2854</v>
      </c>
      <c r="C41" s="18">
        <f>(2526.0/B41*100)</f>
        <v/>
      </c>
      <c r="D41" s="19" t="n">
        <v>328</v>
      </c>
      <c r="E41" s="18" t="n">
        <v>69.49292934</v>
      </c>
      <c r="F41" s="20" t="n">
        <v>2.00790162</v>
      </c>
      <c r="G41" s="18" t="n">
        <v>29.5426468</v>
      </c>
      <c r="H41" s="20" t="n">
        <v>1.98884542</v>
      </c>
      <c r="I41" s="18" t="s">
        <v>349</v>
      </c>
      <c r="J41" s="20" t="s">
        <v>349</v>
      </c>
      <c r="K41" s="18" t="n">
        <v>0.96442385</v>
      </c>
      <c r="L41" s="20" t="n">
        <v>0.50071</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(10968.0/B46*100)</f>
        <v/>
      </c>
      <c r="D46" s="19" t="n">
        <v>1105</v>
      </c>
      <c r="E46" s="18" t="n">
        <v>80.73888436999999</v>
      </c>
      <c r="F46" s="20" t="n">
        <v>1.72871256</v>
      </c>
      <c r="G46" s="18" t="n">
        <v>6.44745814</v>
      </c>
      <c r="H46" s="20" t="n">
        <v>0.86687418</v>
      </c>
      <c r="I46" s="18" t="s">
        <v>349</v>
      </c>
      <c r="J46" s="20" t="s">
        <v>349</v>
      </c>
      <c r="K46" s="18" t="n">
        <v>12.81365749</v>
      </c>
      <c r="L46" s="20" t="n">
        <v>1.40736964</v>
      </c>
      <c r="M46" s="18" t="n">
        <v>0</v>
      </c>
      <c r="N46" s="20" t="n">
        <v>0</v>
      </c>
      <c r="O46" s="18" t="n">
        <v>0</v>
      </c>
      <c r="P46" s="20" t="n">
        <v>0</v>
      </c>
      <c r="Q46" s="18" t="n">
        <v>0</v>
      </c>
      <c r="R46" s="20" t="n">
        <v>0</v>
      </c>
    </row>
    <row r="47" spans="1:18">
      <c r="A47" s="15" t="s">
        <v>389</v>
      </c>
      <c r="B47" s="17" t="n">
        <v>2823</v>
      </c>
      <c r="C47" s="18">
        <f>(2498.0/B47*100)</f>
        <v/>
      </c>
      <c r="D47" s="19" t="n">
        <v>325</v>
      </c>
      <c r="E47" s="18" t="n">
        <v>73.56790515</v>
      </c>
      <c r="F47" s="20" t="n">
        <v>2.81196673</v>
      </c>
      <c r="G47" s="18" t="n">
        <v>22.08559208</v>
      </c>
      <c r="H47" s="20" t="n">
        <v>2.57684758</v>
      </c>
      <c r="I47" s="18" t="s">
        <v>349</v>
      </c>
      <c r="J47" s="20" t="s">
        <v>349</v>
      </c>
      <c r="K47" s="18" t="n">
        <v>4.34650278</v>
      </c>
      <c r="L47" s="20" t="n">
        <v>1.16968636</v>
      </c>
      <c r="M47" s="18" t="n">
        <v>0</v>
      </c>
      <c r="N47" s="20" t="n">
        <v>0</v>
      </c>
      <c r="O47" s="18" t="n">
        <v>0</v>
      </c>
      <c r="P47" s="20" t="n">
        <v>0</v>
      </c>
      <c r="Q47" s="18" t="n">
        <v>0</v>
      </c>
      <c r="R47" s="20" t="n">
        <v>0</v>
      </c>
    </row>
    <row r="48" spans="1:18">
      <c r="A48" s="15" t="s">
        <v>390</v>
      </c>
      <c r="B48" s="17" t="n">
        <v>4682</v>
      </c>
      <c r="C48" s="18">
        <f>(4106.0/B48*100)</f>
        <v/>
      </c>
      <c r="D48" s="19" t="n">
        <v>576</v>
      </c>
      <c r="E48" s="18" t="n">
        <v>68.30744095</v>
      </c>
      <c r="F48" s="20" t="n">
        <v>2.71694857</v>
      </c>
      <c r="G48" s="18" t="n">
        <v>31.69255905</v>
      </c>
      <c r="H48" s="20" t="n">
        <v>2.71694857</v>
      </c>
      <c r="I48" s="18" t="s">
        <v>349</v>
      </c>
      <c r="J48" s="20" t="s">
        <v>349</v>
      </c>
      <c r="K48" s="18" t="n">
        <v>0</v>
      </c>
      <c r="L48" s="20" t="n">
        <v>0</v>
      </c>
      <c r="M48" s="18" t="n">
        <v>0</v>
      </c>
      <c r="N48" s="20" t="n">
        <v>0</v>
      </c>
      <c r="O48" s="18" t="n">
        <v>0</v>
      </c>
      <c r="P48" s="20" t="n">
        <v>0</v>
      </c>
      <c r="Q48" s="18" t="n">
        <v>0</v>
      </c>
      <c r="R48" s="20" t="n">
        <v>0</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(5436.0/B50*100)</f>
        <v/>
      </c>
      <c r="D50" s="19" t="n">
        <v>722</v>
      </c>
      <c r="E50" s="18" t="n">
        <v>84.09304598</v>
      </c>
      <c r="F50" s="20" t="n">
        <v>2.02345083</v>
      </c>
      <c r="G50" s="18" t="n">
        <v>10.95826507</v>
      </c>
      <c r="H50" s="20" t="n">
        <v>1.73003755</v>
      </c>
      <c r="I50" s="18" t="s">
        <v>349</v>
      </c>
      <c r="J50" s="20" t="s">
        <v>349</v>
      </c>
      <c r="K50" s="18" t="n">
        <v>4.94868895</v>
      </c>
      <c r="L50" s="20" t="n">
        <v>1.06542885</v>
      </c>
      <c r="M50" s="18" t="n">
        <v>0</v>
      </c>
      <c r="N50" s="20" t="n">
        <v>0</v>
      </c>
      <c r="O50" s="18" t="n">
        <v>0</v>
      </c>
      <c r="P50" s="20" t="n">
        <v>0</v>
      </c>
      <c r="Q50" s="18" t="n">
        <v>0</v>
      </c>
      <c r="R50" s="20" t="n">
        <v>0</v>
      </c>
    </row>
    <row r="51" spans="1:18">
      <c r="A51" s="15" t="s">
        <v>393</v>
      </c>
      <c r="B51" s="17" t="n">
        <v>3494</v>
      </c>
      <c r="C51" s="18">
        <f>(3121.0/B51*100)</f>
        <v/>
      </c>
      <c r="D51" s="19" t="n">
        <v>373</v>
      </c>
      <c r="E51" s="18" t="n">
        <v>86.29842146999999</v>
      </c>
      <c r="F51" s="20" t="n">
        <v>1.71784191</v>
      </c>
      <c r="G51" s="18" t="n">
        <v>8.54735982</v>
      </c>
      <c r="H51" s="20" t="n">
        <v>1.30491737</v>
      </c>
      <c r="I51" s="18" t="s">
        <v>349</v>
      </c>
      <c r="J51" s="20" t="s">
        <v>349</v>
      </c>
      <c r="K51" s="18" t="n">
        <v>5.15421871</v>
      </c>
      <c r="L51" s="20" t="n">
        <v>1.22806918</v>
      </c>
      <c r="M51" s="18" t="n">
        <v>0</v>
      </c>
      <c r="N51" s="20" t="n">
        <v>0</v>
      </c>
      <c r="O51" s="18" t="n">
        <v>0</v>
      </c>
      <c r="P51" s="20" t="n">
        <v>0</v>
      </c>
      <c r="Q51" s="18" t="n">
        <v>0</v>
      </c>
      <c r="R51" s="20" t="n">
        <v>0</v>
      </c>
    </row>
    <row r="52" spans="1:18">
      <c r="A52" s="15" t="s">
        <v>394</v>
      </c>
      <c r="B52" s="17" t="n">
        <v>3013</v>
      </c>
      <c r="C52" s="18">
        <f>(2650.0/B52*100)</f>
        <v/>
      </c>
      <c r="D52" s="19" t="n">
        <v>363</v>
      </c>
      <c r="E52" s="18" t="n">
        <v>69.68356756</v>
      </c>
      <c r="F52" s="20" t="n">
        <v>2.59323779</v>
      </c>
      <c r="G52" s="18" t="n">
        <v>26.36447116</v>
      </c>
      <c r="H52" s="20" t="n">
        <v>2.51410491</v>
      </c>
      <c r="I52" s="18" t="s">
        <v>349</v>
      </c>
      <c r="J52" s="20" t="s">
        <v>349</v>
      </c>
      <c r="K52" s="18" t="n">
        <v>3.95196128</v>
      </c>
      <c r="L52" s="20" t="n">
        <v>1.21077067</v>
      </c>
      <c r="M52" s="18" t="n">
        <v>0</v>
      </c>
      <c r="N52" s="20" t="n">
        <v>0</v>
      </c>
      <c r="O52" s="18" t="n">
        <v>0</v>
      </c>
      <c r="P52" s="20" t="n">
        <v>0</v>
      </c>
      <c r="Q52" s="18" t="n">
        <v>0</v>
      </c>
      <c r="R52" s="20" t="n">
        <v>0</v>
      </c>
    </row>
    <row r="53" spans="1:18">
      <c r="A53" s="15" t="s">
        <v>395</v>
      </c>
      <c r="B53" s="17" t="n">
        <v>2760</v>
      </c>
      <c r="C53" s="18">
        <f>(2426.0/B53*100)</f>
        <v/>
      </c>
      <c r="D53" s="19" t="n">
        <v>334</v>
      </c>
      <c r="E53" s="18" t="n">
        <v>70.93318562</v>
      </c>
      <c r="F53" s="20" t="n">
        <v>2.8676003</v>
      </c>
      <c r="G53" s="18" t="n">
        <v>24.06441487</v>
      </c>
      <c r="H53" s="20" t="n">
        <v>2.61790381</v>
      </c>
      <c r="I53" s="18" t="s">
        <v>349</v>
      </c>
      <c r="J53" s="20" t="s">
        <v>349</v>
      </c>
      <c r="K53" s="18" t="n">
        <v>5.00239951</v>
      </c>
      <c r="L53" s="20" t="n">
        <v>1.25002346</v>
      </c>
      <c r="M53" s="18" t="n">
        <v>0</v>
      </c>
      <c r="N53" s="20" t="n">
        <v>0</v>
      </c>
      <c r="O53" s="18" t="n">
        <v>0</v>
      </c>
      <c r="P53" s="20" t="n">
        <v>0</v>
      </c>
      <c r="Q53" s="18" t="n">
        <v>0</v>
      </c>
      <c r="R53" s="20" t="n">
        <v>0</v>
      </c>
    </row>
    <row r="54" spans="1:18">
      <c r="A54" s="15" t="s">
        <v>396</v>
      </c>
      <c r="B54" s="17" t="n">
        <v>2474</v>
      </c>
      <c r="C54" s="18">
        <f>(2088.0/B54*100)</f>
        <v/>
      </c>
      <c r="D54" s="19" t="n">
        <v>386</v>
      </c>
      <c r="E54" s="18" t="n">
        <v>68.70321453</v>
      </c>
      <c r="F54" s="20" t="n">
        <v>2.50278293</v>
      </c>
      <c r="G54" s="18" t="n">
        <v>4.59251837</v>
      </c>
      <c r="H54" s="20" t="n">
        <v>1.19903112</v>
      </c>
      <c r="I54" s="18" t="s">
        <v>349</v>
      </c>
      <c r="J54" s="20" t="s">
        <v>349</v>
      </c>
      <c r="K54" s="18" t="n">
        <v>26.70426709</v>
      </c>
      <c r="L54" s="20" t="n">
        <v>2.42337616</v>
      </c>
      <c r="M54" s="18" t="n">
        <v>0</v>
      </c>
      <c r="N54" s="20" t="n">
        <v>0</v>
      </c>
      <c r="O54" s="18" t="n">
        <v>0</v>
      </c>
      <c r="P54" s="20" t="n">
        <v>0</v>
      </c>
      <c r="Q54" s="18" t="n">
        <v>0</v>
      </c>
      <c r="R54" s="20" t="n">
        <v>0</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(2323.0/B56*100)</f>
        <v/>
      </c>
      <c r="D56" s="19" t="n">
        <v>352</v>
      </c>
      <c r="E56" s="18" t="n">
        <v>54.09978552</v>
      </c>
      <c r="F56" s="20" t="n">
        <v>2.57318377</v>
      </c>
      <c r="G56" s="18" t="n">
        <v>45.20838734</v>
      </c>
      <c r="H56" s="20" t="n">
        <v>2.48754198</v>
      </c>
      <c r="I56" s="18" t="s">
        <v>349</v>
      </c>
      <c r="J56" s="20" t="s">
        <v>349</v>
      </c>
      <c r="K56" s="18" t="n">
        <v>0.69182713</v>
      </c>
      <c r="L56" s="20" t="n">
        <v>0.48772285</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(2825.0/B61*100)</f>
        <v/>
      </c>
      <c r="D61" s="19" t="n">
        <v>376</v>
      </c>
      <c r="E61" s="18" t="n">
        <v>64.90527595</v>
      </c>
      <c r="F61" s="20" t="n">
        <v>3.28297933</v>
      </c>
      <c r="G61" s="18" t="n">
        <v>31.95021936</v>
      </c>
      <c r="H61" s="20" t="n">
        <v>3.33788884</v>
      </c>
      <c r="I61" s="18" t="s">
        <v>349</v>
      </c>
      <c r="J61" s="20" t="s">
        <v>349</v>
      </c>
      <c r="K61" s="18" t="n">
        <v>3.14450469</v>
      </c>
      <c r="L61" s="20" t="n">
        <v>0.63711721</v>
      </c>
      <c r="M61" s="18" t="n">
        <v>0</v>
      </c>
      <c r="N61" s="20" t="n">
        <v>0</v>
      </c>
      <c r="O61" s="18" t="n">
        <v>0</v>
      </c>
      <c r="P61" s="20" t="n">
        <v>0</v>
      </c>
      <c r="Q61" s="18" t="n">
        <v>0</v>
      </c>
      <c r="R61" s="20" t="n">
        <v>0</v>
      </c>
    </row>
    <row r="62" spans="1:18">
      <c r="A62" s="15" t="s">
        <v>404</v>
      </c>
      <c r="B62" s="17" t="n">
        <v>2230</v>
      </c>
      <c r="C62" s="18">
        <f>(1955.0/B62*100)</f>
        <v/>
      </c>
      <c r="D62" s="19" t="n">
        <v>275</v>
      </c>
      <c r="E62" s="18" t="n">
        <v>42.18319659</v>
      </c>
      <c r="F62" s="20" t="n">
        <v>3.12928566</v>
      </c>
      <c r="G62" s="18" t="n">
        <v>57.45583075</v>
      </c>
      <c r="H62" s="20" t="n">
        <v>3.1724223</v>
      </c>
      <c r="I62" s="18" t="s">
        <v>349</v>
      </c>
      <c r="J62" s="20" t="s">
        <v>349</v>
      </c>
      <c r="K62" s="18" t="n">
        <v>0.36097266</v>
      </c>
      <c r="L62" s="20" t="n">
        <v>0.36087518</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(2441.0/B66*100)</f>
        <v/>
      </c>
      <c r="D66" s="19" t="n">
        <v>330</v>
      </c>
      <c r="E66" s="18" t="n">
        <v>75.68508649</v>
      </c>
      <c r="F66" s="20" t="n">
        <v>2.30327175</v>
      </c>
      <c r="G66" s="18" t="n">
        <v>15.89954167</v>
      </c>
      <c r="H66" s="20" t="n">
        <v>1.84609502</v>
      </c>
      <c r="I66" s="18" t="s">
        <v>349</v>
      </c>
      <c r="J66" s="20" t="s">
        <v>349</v>
      </c>
      <c r="K66" s="18" t="n">
        <v>8.415371840000001</v>
      </c>
      <c r="L66" s="20" t="n">
        <v>1.65426915</v>
      </c>
      <c r="M66" s="18" t="n">
        <v>0</v>
      </c>
      <c r="N66" s="20" t="n">
        <v>0</v>
      </c>
      <c r="O66" s="18" t="n">
        <v>0</v>
      </c>
      <c r="P66" s="20" t="n">
        <v>0</v>
      </c>
      <c r="Q66" s="18" t="n">
        <v>0</v>
      </c>
      <c r="R66" s="20" t="n">
        <v>0</v>
      </c>
    </row>
    <row r="67" spans="1:18">
      <c r="A67" s="15" t="s">
        <v>409</v>
      </c>
      <c r="B67" s="17" t="n">
        <v>3460</v>
      </c>
      <c r="C67" s="18">
        <f>(3119.0/B67*100)</f>
        <v/>
      </c>
      <c r="D67" s="19" t="n">
        <v>341</v>
      </c>
      <c r="E67" s="18" t="n">
        <v>79.07879171</v>
      </c>
      <c r="F67" s="20" t="n">
        <v>2.28273357</v>
      </c>
      <c r="G67" s="18" t="n">
        <v>14.47515762</v>
      </c>
      <c r="H67" s="20" t="n">
        <v>2.04071409</v>
      </c>
      <c r="I67" s="18" t="s">
        <v>349</v>
      </c>
      <c r="J67" s="20" t="s">
        <v>349</v>
      </c>
      <c r="K67" s="18" t="n">
        <v>6.44605067</v>
      </c>
      <c r="L67" s="20" t="n">
        <v>1.25052841</v>
      </c>
      <c r="M67" s="18" t="n">
        <v>0</v>
      </c>
      <c r="N67" s="20" t="n">
        <v>0</v>
      </c>
      <c r="O67" s="18" t="n">
        <v>0</v>
      </c>
      <c r="P67" s="20" t="n">
        <v>0</v>
      </c>
      <c r="Q67" s="18" t="n">
        <v>0</v>
      </c>
      <c r="R67" s="20" t="n">
        <v>0</v>
      </c>
    </row>
    <row r="68" spans="1:18">
      <c r="A68" s="15" t="s">
        <v>410</v>
      </c>
      <c r="B68" s="17" t="n">
        <v>6034</v>
      </c>
      <c r="C68" s="18">
        <f>(5024.0/B68*100)</f>
        <v/>
      </c>
      <c r="D68" s="19" t="n">
        <v>1010</v>
      </c>
      <c r="E68" s="18" t="n">
        <v>76.53816861999999</v>
      </c>
      <c r="F68" s="20" t="n">
        <v>1.39450391</v>
      </c>
      <c r="G68" s="18" t="n">
        <v>15.42861068</v>
      </c>
      <c r="H68" s="20" t="n">
        <v>1.2079599</v>
      </c>
      <c r="I68" s="18" t="s">
        <v>349</v>
      </c>
      <c r="J68" s="20" t="s">
        <v>349</v>
      </c>
      <c r="K68" s="18" t="n">
        <v>8.033220699999999</v>
      </c>
      <c r="L68" s="20" t="n">
        <v>0.7838360599999999</v>
      </c>
      <c r="M68" s="18" t="n">
        <v>0</v>
      </c>
      <c r="N68" s="20" t="n">
        <v>0</v>
      </c>
      <c r="O68" s="18" t="n">
        <v>0</v>
      </c>
      <c r="P68" s="20" t="n">
        <v>0</v>
      </c>
      <c r="Q68" s="18" t="n">
        <v>0</v>
      </c>
      <c r="R68" s="20" t="n">
        <v>0</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(2733.0/B70*100)</f>
        <v/>
      </c>
      <c r="D70" s="19" t="n">
        <v>374</v>
      </c>
      <c r="E70" s="18" t="n">
        <v>63.37672947</v>
      </c>
      <c r="F70" s="20" t="n">
        <v>2.06859403</v>
      </c>
      <c r="G70" s="18" t="n">
        <v>31.34857124</v>
      </c>
      <c r="H70" s="20" t="n">
        <v>2.33313069</v>
      </c>
      <c r="I70" s="18" t="s">
        <v>349</v>
      </c>
      <c r="J70" s="20" t="s">
        <v>349</v>
      </c>
      <c r="K70" s="18" t="n">
        <v>5.27469929</v>
      </c>
      <c r="L70" s="20" t="n">
        <v>1.14800658</v>
      </c>
      <c r="M70" s="18" t="n">
        <v>0</v>
      </c>
      <c r="N70" s="20" t="n">
        <v>0</v>
      </c>
      <c r="O70" s="18" t="n">
        <v>0</v>
      </c>
      <c r="P70" s="20" t="n">
        <v>0</v>
      </c>
      <c r="Q70" s="18" t="n">
        <v>0</v>
      </c>
      <c r="R70" s="20" t="n">
        <v>0</v>
      </c>
    </row>
    <row r="71" spans="1:18">
      <c r="A71" s="15" t="s">
        <v>413</v>
      </c>
      <c r="B71" s="17" t="n">
        <v>2973</v>
      </c>
      <c r="C71" s="18">
        <f>(2616.0/B71*100)</f>
        <v/>
      </c>
      <c r="D71" s="19" t="n">
        <v>357</v>
      </c>
      <c r="E71" s="18" t="n">
        <v>49.52707298</v>
      </c>
      <c r="F71" s="20" t="n">
        <v>2.82456215</v>
      </c>
      <c r="G71" s="18" t="n">
        <v>50.14614485</v>
      </c>
      <c r="H71" s="20" t="n">
        <v>2.8220134</v>
      </c>
      <c r="I71" s="18" t="s">
        <v>349</v>
      </c>
      <c r="J71" s="20" t="s">
        <v>349</v>
      </c>
      <c r="K71" s="18" t="n">
        <v>0.32678217</v>
      </c>
      <c r="L71" s="20" t="n">
        <v>0.3291331</v>
      </c>
      <c r="M71" s="18" t="n">
        <v>0</v>
      </c>
      <c r="N71" s="20" t="n">
        <v>0</v>
      </c>
      <c r="O71" s="18" t="n">
        <v>0</v>
      </c>
      <c r="P71" s="20" t="n">
        <v>0</v>
      </c>
      <c r="Q71" s="18" t="n">
        <v>0</v>
      </c>
      <c r="R71" s="20" t="n">
        <v>0</v>
      </c>
    </row>
    <row r="72" spans="1:18">
      <c r="A72" s="15" t="s">
        <v>414</v>
      </c>
      <c r="B72" s="17" t="n">
        <v>3819</v>
      </c>
      <c r="C72" s="18">
        <f>(3346.0/B72*100)</f>
        <v/>
      </c>
      <c r="D72" s="19" t="n">
        <v>473</v>
      </c>
      <c r="E72" s="18" t="n">
        <v>52.04128338</v>
      </c>
      <c r="F72" s="20" t="n">
        <v>2.51788383</v>
      </c>
      <c r="G72" s="18" t="n">
        <v>47.13355103</v>
      </c>
      <c r="H72" s="20" t="n">
        <v>2.54197849</v>
      </c>
      <c r="I72" s="18" t="s">
        <v>349</v>
      </c>
      <c r="J72" s="20" t="s">
        <v>349</v>
      </c>
      <c r="K72" s="18" t="n">
        <v>0.82516559</v>
      </c>
      <c r="L72" s="20" t="n">
        <v>0.42377252</v>
      </c>
      <c r="M72" s="18" t="n">
        <v>0</v>
      </c>
      <c r="N72" s="20" t="n">
        <v>0</v>
      </c>
      <c r="O72" s="18" t="n">
        <v>0</v>
      </c>
      <c r="P72" s="20" t="n">
        <v>0</v>
      </c>
      <c r="Q72" s="18" t="n">
        <v>0</v>
      </c>
      <c r="R72" s="20" t="n">
        <v>0</v>
      </c>
    </row>
    <row r="73" spans="1:18">
      <c r="A73" s="15" t="s">
        <v>415</v>
      </c>
      <c r="B73" s="17" t="n">
        <v>4652</v>
      </c>
      <c r="C73" s="18">
        <f>(4143.0/B73*100)</f>
        <v/>
      </c>
      <c r="D73" s="19" t="n">
        <v>509</v>
      </c>
      <c r="E73" s="18" t="n">
        <v>80.10313546</v>
      </c>
      <c r="F73" s="20" t="n">
        <v>2.27866092</v>
      </c>
      <c r="G73" s="18" t="n">
        <v>19.20936924</v>
      </c>
      <c r="H73" s="20" t="n">
        <v>2.25492022</v>
      </c>
      <c r="I73" s="18" t="s">
        <v>349</v>
      </c>
      <c r="J73" s="20" t="s">
        <v>349</v>
      </c>
      <c r="K73" s="18" t="n">
        <v>0.6874953</v>
      </c>
      <c r="L73" s="20" t="n">
        <v>0.41802165</v>
      </c>
      <c r="M73" s="18" t="n">
        <v>0</v>
      </c>
      <c r="N73" s="20" t="n">
        <v>0</v>
      </c>
      <c r="O73" s="18" t="n">
        <v>0</v>
      </c>
      <c r="P73" s="20" t="n">
        <v>0</v>
      </c>
      <c r="Q73" s="18" t="n">
        <v>0</v>
      </c>
      <c r="R73" s="20" t="n">
        <v>0</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(2646.0/B75*100)</f>
        <v/>
      </c>
      <c r="D75" s="19" t="n">
        <v>323</v>
      </c>
      <c r="E75" s="18" t="n">
        <v>80.12488418</v>
      </c>
      <c r="F75" s="20" t="n">
        <v>1.95070511</v>
      </c>
      <c r="G75" s="18" t="n">
        <v>5.93195168</v>
      </c>
      <c r="H75" s="20" t="n">
        <v>1.34668622</v>
      </c>
      <c r="I75" s="18" t="s">
        <v>349</v>
      </c>
      <c r="J75" s="20" t="s">
        <v>349</v>
      </c>
      <c r="K75" s="18" t="n">
        <v>13.94316414</v>
      </c>
      <c r="L75" s="20" t="n">
        <v>2.02260359</v>
      </c>
      <c r="M75" s="18" t="n">
        <v>0</v>
      </c>
      <c r="N75" s="20" t="n">
        <v>0</v>
      </c>
      <c r="O75" s="18" t="n">
        <v>0</v>
      </c>
      <c r="P75" s="20" t="n">
        <v>0</v>
      </c>
      <c r="Q75" s="18" t="n">
        <v>0</v>
      </c>
      <c r="R75" s="20" t="n">
        <v>0</v>
      </c>
    </row>
    <row r="76" spans="1:18">
      <c r="A76" s="15" t="s">
        <v>418</v>
      </c>
      <c r="B76" s="17" t="n">
        <v>7115</v>
      </c>
      <c r="C76" s="18">
        <f>(6248.0/B76*100)</f>
        <v/>
      </c>
      <c r="D76" s="19" t="n">
        <v>867</v>
      </c>
      <c r="E76" s="18" t="n">
        <v>76.62907034</v>
      </c>
      <c r="F76" s="20" t="n">
        <v>1.58419295</v>
      </c>
      <c r="G76" s="18" t="n">
        <v>19.65045904</v>
      </c>
      <c r="H76" s="20" t="n">
        <v>1.5848566</v>
      </c>
      <c r="I76" s="18" t="s">
        <v>349</v>
      </c>
      <c r="J76" s="20" t="s">
        <v>349</v>
      </c>
      <c r="K76" s="18" t="n">
        <v>3.72047062</v>
      </c>
      <c r="L76" s="20" t="n">
        <v>0.83819164</v>
      </c>
      <c r="M76" s="18" t="n">
        <v>0</v>
      </c>
      <c r="N76" s="20" t="n">
        <v>0</v>
      </c>
      <c r="O76" s="18" t="n">
        <v>0</v>
      </c>
      <c r="P76" s="20" t="n">
        <v>0</v>
      </c>
      <c r="Q76" s="18" t="n">
        <v>0</v>
      </c>
      <c r="R76" s="20" t="n">
        <v>0</v>
      </c>
    </row>
    <row r="77" spans="1:18">
      <c r="A77" s="15" t="s">
        <v>419</v>
      </c>
      <c r="B77" s="17" t="n">
        <v>3154</v>
      </c>
      <c r="C77" s="18">
        <f>(2805.0/B77*100)</f>
        <v/>
      </c>
      <c r="D77" s="19" t="n">
        <v>349</v>
      </c>
      <c r="E77" s="18" t="n">
        <v>71.49729214</v>
      </c>
      <c r="F77" s="20" t="n">
        <v>2.47500087</v>
      </c>
      <c r="G77" s="18" t="n">
        <v>19.41040997</v>
      </c>
      <c r="H77" s="20" t="n">
        <v>2.25101362</v>
      </c>
      <c r="I77" s="18" t="s">
        <v>349</v>
      </c>
      <c r="J77" s="20" t="s">
        <v>349</v>
      </c>
      <c r="K77" s="18" t="n">
        <v>9.0922979</v>
      </c>
      <c r="L77" s="20" t="n">
        <v>1.58572906</v>
      </c>
      <c r="M77" s="18" t="n">
        <v>0</v>
      </c>
      <c r="N77" s="20" t="n">
        <v>0</v>
      </c>
      <c r="O77" s="18" t="n">
        <v>0</v>
      </c>
      <c r="P77" s="20" t="n">
        <v>0</v>
      </c>
      <c r="Q77" s="18" t="n">
        <v>0</v>
      </c>
      <c r="R77" s="20" t="n">
        <v>0</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(4145.0/B81*100)</f>
        <v/>
      </c>
      <c r="D81" s="19" t="n">
        <v>553</v>
      </c>
      <c r="E81" s="18" t="n">
        <v>77.11543881999999</v>
      </c>
      <c r="F81" s="20" t="n">
        <v>2.10495645</v>
      </c>
      <c r="G81" s="18" t="n">
        <v>21.34260838</v>
      </c>
      <c r="H81" s="20" t="n">
        <v>2.04007657</v>
      </c>
      <c r="I81" s="18" t="s">
        <v>349</v>
      </c>
      <c r="J81" s="20" t="s">
        <v>349</v>
      </c>
      <c r="K81" s="18" t="n">
        <v>1.5419528</v>
      </c>
      <c r="L81" s="20" t="n">
        <v>0.63694173</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(6341.0/B7*100)</f>
        <v/>
      </c>
      <c r="D7" s="19" t="n">
        <v>822</v>
      </c>
      <c r="E7" s="18" t="n">
        <v>58.26404796</v>
      </c>
      <c r="F7" s="20" t="n">
        <v>2.01995955</v>
      </c>
      <c r="G7" s="18" t="n">
        <v>40.98284995</v>
      </c>
      <c r="H7" s="20" t="n">
        <v>2.01595172</v>
      </c>
      <c r="I7" s="18" t="s">
        <v>349</v>
      </c>
      <c r="J7" s="20" t="s">
        <v>349</v>
      </c>
      <c r="K7" s="18" t="n">
        <v>0.19288817</v>
      </c>
      <c r="L7" s="20" t="n">
        <v>0.18451707</v>
      </c>
      <c r="M7" s="18" t="n">
        <v>0</v>
      </c>
      <c r="N7" s="20" t="n">
        <v>0</v>
      </c>
      <c r="O7" s="18" t="n">
        <v>0</v>
      </c>
      <c r="P7" s="20" t="n">
        <v>0</v>
      </c>
      <c r="Q7" s="18" t="n">
        <v>0.56021393</v>
      </c>
      <c r="R7" s="20" t="n">
        <v>0.31843874</v>
      </c>
    </row>
    <row r="8" spans="1:18">
      <c r="A8" s="15" t="s">
        <v>350</v>
      </c>
      <c r="B8" s="17" t="n">
        <v>3443</v>
      </c>
      <c r="C8" s="18">
        <f>(3044.0/B8*100)</f>
        <v/>
      </c>
      <c r="D8" s="19" t="n">
        <v>399</v>
      </c>
      <c r="E8" s="18" t="n">
        <v>60.58392836</v>
      </c>
      <c r="F8" s="20" t="n">
        <v>2.8428037</v>
      </c>
      <c r="G8" s="18" t="n">
        <v>38.26315876</v>
      </c>
      <c r="H8" s="20" t="n">
        <v>2.93752337</v>
      </c>
      <c r="I8" s="18" t="s">
        <v>349</v>
      </c>
      <c r="J8" s="20" t="s">
        <v>349</v>
      </c>
      <c r="K8" s="18" t="n">
        <v>0</v>
      </c>
      <c r="L8" s="20" t="n">
        <v>0</v>
      </c>
      <c r="M8" s="18" t="n">
        <v>0</v>
      </c>
      <c r="N8" s="20" t="n">
        <v>0</v>
      </c>
      <c r="O8" s="18" t="n">
        <v>0</v>
      </c>
      <c r="P8" s="20" t="n">
        <v>0</v>
      </c>
      <c r="Q8" s="18" t="n">
        <v>1.15291288</v>
      </c>
      <c r="R8" s="20" t="n">
        <v>0.43581365</v>
      </c>
    </row>
    <row r="9" spans="1:18">
      <c r="A9" s="15" t="s">
        <v>351</v>
      </c>
      <c r="B9" s="17" t="n">
        <v>4752</v>
      </c>
      <c r="C9" s="18">
        <f>(4200.0/B9*100)</f>
        <v/>
      </c>
      <c r="D9" s="19" t="n">
        <v>552</v>
      </c>
      <c r="E9" s="18" t="n">
        <v>52.78075349</v>
      </c>
      <c r="F9" s="20" t="n">
        <v>2.13233736</v>
      </c>
      <c r="G9" s="18" t="n">
        <v>46.80856023</v>
      </c>
      <c r="H9" s="20" t="n">
        <v>2.09839725</v>
      </c>
      <c r="I9" s="18" t="s">
        <v>349</v>
      </c>
      <c r="J9" s="20" t="s">
        <v>349</v>
      </c>
      <c r="K9" s="18" t="n">
        <v>0</v>
      </c>
      <c r="L9" s="20" t="n">
        <v>0</v>
      </c>
      <c r="M9" s="18" t="n">
        <v>0</v>
      </c>
      <c r="N9" s="20" t="n">
        <v>0</v>
      </c>
      <c r="O9" s="18" t="n">
        <v>0</v>
      </c>
      <c r="P9" s="20" t="n">
        <v>0</v>
      </c>
      <c r="Q9" s="18" t="n">
        <v>0.41068628</v>
      </c>
      <c r="R9" s="20" t="n">
        <v>0.28918518</v>
      </c>
    </row>
    <row r="10" spans="1:18">
      <c r="A10" s="15" t="s">
        <v>352</v>
      </c>
      <c r="B10" s="17" t="n">
        <v>10022</v>
      </c>
      <c r="C10" s="18">
        <f>(8799.0/B10*100)</f>
        <v/>
      </c>
      <c r="D10" s="19" t="n">
        <v>1223</v>
      </c>
      <c r="E10" s="18" t="n">
        <v>58.78762488</v>
      </c>
      <c r="F10" s="20" t="n">
        <v>1.84546439</v>
      </c>
      <c r="G10" s="18" t="n">
        <v>40.36536643</v>
      </c>
      <c r="H10" s="20" t="n">
        <v>1.82963169</v>
      </c>
      <c r="I10" s="18" t="s">
        <v>349</v>
      </c>
      <c r="J10" s="20" t="s">
        <v>349</v>
      </c>
      <c r="K10" s="18" t="n">
        <v>0.00652761</v>
      </c>
      <c r="L10" s="20" t="n">
        <v>0.00632842</v>
      </c>
      <c r="M10" s="18" t="n">
        <v>0</v>
      </c>
      <c r="N10" s="20" t="n">
        <v>0</v>
      </c>
      <c r="O10" s="18" t="n">
        <v>0</v>
      </c>
      <c r="P10" s="20" t="n">
        <v>0</v>
      </c>
      <c r="Q10" s="18" t="n">
        <v>0.84048108</v>
      </c>
      <c r="R10" s="20" t="n">
        <v>0.25784241</v>
      </c>
    </row>
    <row r="11" spans="1:18">
      <c r="A11" s="15" t="s">
        <v>353</v>
      </c>
      <c r="B11" s="17" t="n">
        <v>3500</v>
      </c>
      <c r="C11" s="18">
        <f>(3082.0/B11*100)</f>
        <v/>
      </c>
      <c r="D11" s="19" t="n">
        <v>418</v>
      </c>
      <c r="E11" s="18" t="n">
        <v>62.89022681</v>
      </c>
      <c r="F11" s="20" t="n">
        <v>2.19763236</v>
      </c>
      <c r="G11" s="18" t="n">
        <v>36.10899721</v>
      </c>
      <c r="H11" s="20" t="n">
        <v>2.17970874</v>
      </c>
      <c r="I11" s="18" t="s">
        <v>349</v>
      </c>
      <c r="J11" s="20" t="s">
        <v>349</v>
      </c>
      <c r="K11" s="18" t="n">
        <v>0</v>
      </c>
      <c r="L11" s="20" t="n">
        <v>0</v>
      </c>
      <c r="M11" s="18" t="n">
        <v>0</v>
      </c>
      <c r="N11" s="20" t="n">
        <v>0</v>
      </c>
      <c r="O11" s="18" t="n">
        <v>0</v>
      </c>
      <c r="P11" s="20" t="n">
        <v>0</v>
      </c>
      <c r="Q11" s="18" t="n">
        <v>1.00077598</v>
      </c>
      <c r="R11" s="20" t="n">
        <v>0.47221105</v>
      </c>
    </row>
    <row r="12" spans="1:18">
      <c r="A12" s="15" t="s">
        <v>354</v>
      </c>
      <c r="B12" s="17" t="n">
        <v>3422</v>
      </c>
      <c r="C12" s="18">
        <f>(2987.0/B12*100)</f>
        <v/>
      </c>
      <c r="D12" s="19" t="n">
        <v>435</v>
      </c>
      <c r="E12" s="18" t="n">
        <v>58.98511057</v>
      </c>
      <c r="F12" s="20" t="n">
        <v>2.65812761</v>
      </c>
      <c r="G12" s="18" t="n">
        <v>40.221123</v>
      </c>
      <c r="H12" s="20" t="n">
        <v>2.64226471</v>
      </c>
      <c r="I12" s="18" t="s">
        <v>349</v>
      </c>
      <c r="J12" s="20" t="s">
        <v>349</v>
      </c>
      <c r="K12" s="18" t="n">
        <v>0</v>
      </c>
      <c r="L12" s="20" t="n">
        <v>0</v>
      </c>
      <c r="M12" s="18" t="n">
        <v>0</v>
      </c>
      <c r="N12" s="20" t="n">
        <v>0</v>
      </c>
      <c r="O12" s="18" t="n">
        <v>0</v>
      </c>
      <c r="P12" s="20" t="n">
        <v>0</v>
      </c>
      <c r="Q12" s="18" t="n">
        <v>0.79376643</v>
      </c>
      <c r="R12" s="20" t="n">
        <v>0.50258813</v>
      </c>
    </row>
    <row r="13" spans="1:18">
      <c r="A13" s="15" t="s">
        <v>355</v>
      </c>
      <c r="B13" s="17" t="n">
        <v>3602</v>
      </c>
      <c r="C13" s="18">
        <f>(3174.0/B13*100)</f>
        <v/>
      </c>
      <c r="D13" s="19" t="n">
        <v>428</v>
      </c>
      <c r="E13" s="18" t="n">
        <v>51.39346972</v>
      </c>
      <c r="F13" s="20" t="n">
        <v>3.06453218</v>
      </c>
      <c r="G13" s="18" t="n">
        <v>47.46317007</v>
      </c>
      <c r="H13" s="20" t="n">
        <v>3.15239593</v>
      </c>
      <c r="I13" s="18" t="s">
        <v>349</v>
      </c>
      <c r="J13" s="20" t="s">
        <v>349</v>
      </c>
      <c r="K13" s="18" t="n">
        <v>0.16870847</v>
      </c>
      <c r="L13" s="20" t="n">
        <v>0.17294738</v>
      </c>
      <c r="M13" s="18" t="n">
        <v>0</v>
      </c>
      <c r="N13" s="20" t="n">
        <v>0</v>
      </c>
      <c r="O13" s="18" t="n">
        <v>0</v>
      </c>
      <c r="P13" s="20" t="n">
        <v>0</v>
      </c>
      <c r="Q13" s="18" t="n">
        <v>0.97465175</v>
      </c>
      <c r="R13" s="20" t="n">
        <v>0.5714977</v>
      </c>
    </row>
    <row r="14" spans="1:18">
      <c r="A14" s="15" t="s">
        <v>356</v>
      </c>
      <c r="B14" s="17" t="n">
        <v>2788</v>
      </c>
      <c r="C14" s="18">
        <f>(2431.0/B14*100)</f>
        <v/>
      </c>
      <c r="D14" s="19" t="n">
        <v>357</v>
      </c>
      <c r="E14" s="18" t="n">
        <v>51.42477995</v>
      </c>
      <c r="F14" s="20" t="n">
        <v>2.80699084</v>
      </c>
      <c r="G14" s="18" t="n">
        <v>48.12082524</v>
      </c>
      <c r="H14" s="20" t="n">
        <v>2.79888975</v>
      </c>
      <c r="I14" s="18" t="s">
        <v>349</v>
      </c>
      <c r="J14" s="20" t="s">
        <v>349</v>
      </c>
      <c r="K14" s="18" t="n">
        <v>0</v>
      </c>
      <c r="L14" s="20" t="n">
        <v>0</v>
      </c>
      <c r="M14" s="18" t="n">
        <v>0</v>
      </c>
      <c r="N14" s="20" t="n">
        <v>0</v>
      </c>
      <c r="O14" s="18" t="n">
        <v>0</v>
      </c>
      <c r="P14" s="20" t="n">
        <v>0</v>
      </c>
      <c r="Q14" s="18" t="n">
        <v>0.45439481</v>
      </c>
      <c r="R14" s="20" t="n">
        <v>0.32034396</v>
      </c>
    </row>
    <row r="15" spans="1:18">
      <c r="A15" s="15" t="s">
        <v>357</v>
      </c>
      <c r="B15" s="17" t="n">
        <v>2863</v>
      </c>
      <c r="C15" s="18">
        <f>(2507.0/B15*100)</f>
        <v/>
      </c>
      <c r="D15" s="19" t="n">
        <v>356</v>
      </c>
      <c r="E15" s="18" t="n">
        <v>47.18411639</v>
      </c>
      <c r="F15" s="20" t="n">
        <v>2.73931113</v>
      </c>
      <c r="G15" s="18" t="n">
        <v>52.40050423</v>
      </c>
      <c r="H15" s="20" t="n">
        <v>2.71072915</v>
      </c>
      <c r="I15" s="18" t="s">
        <v>349</v>
      </c>
      <c r="J15" s="20" t="s">
        <v>349</v>
      </c>
      <c r="K15" s="18" t="n">
        <v>0.27578324</v>
      </c>
      <c r="L15" s="20" t="n">
        <v>0.27117198</v>
      </c>
      <c r="M15" s="18" t="n">
        <v>0</v>
      </c>
      <c r="N15" s="20" t="n">
        <v>0</v>
      </c>
      <c r="O15" s="18" t="n">
        <v>0</v>
      </c>
      <c r="P15" s="20" t="n">
        <v>0</v>
      </c>
      <c r="Q15" s="18" t="n">
        <v>0.13959613</v>
      </c>
      <c r="R15" s="20" t="n">
        <v>0.16377328</v>
      </c>
    </row>
    <row r="16" spans="1:18">
      <c r="A16" s="15" t="s">
        <v>358</v>
      </c>
      <c r="B16" s="17" t="n">
        <v>3111</v>
      </c>
      <c r="C16" s="18">
        <f>(2723.0/B16*100)</f>
        <v/>
      </c>
      <c r="D16" s="19" t="n">
        <v>388</v>
      </c>
      <c r="E16" s="18" t="n">
        <v>64.15647317</v>
      </c>
      <c r="F16" s="20" t="n">
        <v>2.37849595</v>
      </c>
      <c r="G16" s="18" t="n">
        <v>35.11657243</v>
      </c>
      <c r="H16" s="20" t="n">
        <v>2.41917857</v>
      </c>
      <c r="I16" s="18" t="s">
        <v>349</v>
      </c>
      <c r="J16" s="20" t="s">
        <v>349</v>
      </c>
      <c r="K16" s="18" t="n">
        <v>0.25632567</v>
      </c>
      <c r="L16" s="20" t="n">
        <v>0.30387097</v>
      </c>
      <c r="M16" s="18" t="n">
        <v>0</v>
      </c>
      <c r="N16" s="20" t="n">
        <v>0</v>
      </c>
      <c r="O16" s="18" t="n">
        <v>0</v>
      </c>
      <c r="P16" s="20" t="n">
        <v>0</v>
      </c>
      <c r="Q16" s="18" t="n">
        <v>0.47062872</v>
      </c>
      <c r="R16" s="20" t="n">
        <v>0.34136483</v>
      </c>
    </row>
    <row r="17" spans="1:18">
      <c r="A17" s="15" t="s">
        <v>359</v>
      </c>
      <c r="B17" s="17" t="n">
        <v>3197</v>
      </c>
      <c r="C17" s="18">
        <f>(2820.0/B17*100)</f>
        <v/>
      </c>
      <c r="D17" s="19" t="n">
        <v>377</v>
      </c>
      <c r="E17" s="18" t="n">
        <v>54.05401068</v>
      </c>
      <c r="F17" s="20" t="n">
        <v>2.71243007</v>
      </c>
      <c r="G17" s="18" t="n">
        <v>44.84846162</v>
      </c>
      <c r="H17" s="20" t="n">
        <v>2.71020478</v>
      </c>
      <c r="I17" s="18" t="s">
        <v>349</v>
      </c>
      <c r="J17" s="20" t="s">
        <v>349</v>
      </c>
      <c r="K17" s="18" t="n">
        <v>0</v>
      </c>
      <c r="L17" s="20" t="n">
        <v>0</v>
      </c>
      <c r="M17" s="18" t="n">
        <v>0</v>
      </c>
      <c r="N17" s="20" t="n">
        <v>0</v>
      </c>
      <c r="O17" s="18" t="n">
        <v>0</v>
      </c>
      <c r="P17" s="20" t="n">
        <v>0</v>
      </c>
      <c r="Q17" s="18" t="n">
        <v>1.09752769</v>
      </c>
      <c r="R17" s="20" t="n">
        <v>0.49469275</v>
      </c>
    </row>
    <row r="18" spans="1:18">
      <c r="A18" s="15" t="s">
        <v>360</v>
      </c>
      <c r="B18" s="17" t="n">
        <v>2706</v>
      </c>
      <c r="C18" s="18">
        <f>(2338.0/B18*100)</f>
        <v/>
      </c>
      <c r="D18" s="19" t="n">
        <v>368</v>
      </c>
      <c r="E18" s="18" t="n">
        <v>64.26107527000001</v>
      </c>
      <c r="F18" s="20" t="n">
        <v>2.90365421</v>
      </c>
      <c r="G18" s="18" t="n">
        <v>33.38846409</v>
      </c>
      <c r="H18" s="20" t="n">
        <v>2.71075109</v>
      </c>
      <c r="I18" s="18" t="s">
        <v>349</v>
      </c>
      <c r="J18" s="20" t="s">
        <v>349</v>
      </c>
      <c r="K18" s="18" t="n">
        <v>0.7002871000000001</v>
      </c>
      <c r="L18" s="20" t="n">
        <v>0.69058967</v>
      </c>
      <c r="M18" s="18" t="n">
        <v>0</v>
      </c>
      <c r="N18" s="20" t="n">
        <v>0</v>
      </c>
      <c r="O18" s="18" t="n">
        <v>0</v>
      </c>
      <c r="P18" s="20" t="n">
        <v>0</v>
      </c>
      <c r="Q18" s="18" t="n">
        <v>1.65017354</v>
      </c>
      <c r="R18" s="20" t="n">
        <v>0.7021085</v>
      </c>
    </row>
    <row r="19" spans="1:18">
      <c r="A19" s="15" t="s">
        <v>361</v>
      </c>
      <c r="B19" s="17" t="n">
        <v>2850</v>
      </c>
      <c r="C19" s="18">
        <f>(2493.0/B19*100)</f>
        <v/>
      </c>
      <c r="D19" s="19" t="n">
        <v>357</v>
      </c>
      <c r="E19" s="18" t="n">
        <v>53.54064132</v>
      </c>
      <c r="F19" s="20" t="n">
        <v>3.04350797</v>
      </c>
      <c r="G19" s="18" t="n">
        <v>45.91959171</v>
      </c>
      <c r="H19" s="20" t="n">
        <v>3.03613711</v>
      </c>
      <c r="I19" s="18" t="s">
        <v>349</v>
      </c>
      <c r="J19" s="20" t="s">
        <v>349</v>
      </c>
      <c r="K19" s="18" t="n">
        <v>0</v>
      </c>
      <c r="L19" s="20" t="n">
        <v>0</v>
      </c>
      <c r="M19" s="18" t="n">
        <v>0</v>
      </c>
      <c r="N19" s="20" t="n">
        <v>0</v>
      </c>
      <c r="O19" s="18" t="n">
        <v>0</v>
      </c>
      <c r="P19" s="20" t="n">
        <v>0</v>
      </c>
      <c r="Q19" s="18" t="n">
        <v>0.53976697</v>
      </c>
      <c r="R19" s="20" t="n">
        <v>0.38357859</v>
      </c>
    </row>
    <row r="20" spans="1:18">
      <c r="A20" s="15" t="s">
        <v>362</v>
      </c>
      <c r="B20" s="17" t="n">
        <v>1741</v>
      </c>
      <c r="C20" s="18">
        <f>(1526.0/B20*100)</f>
        <v/>
      </c>
      <c r="D20" s="19" t="n">
        <v>215</v>
      </c>
      <c r="E20" s="18" t="n">
        <v>62.3249318</v>
      </c>
      <c r="F20" s="20" t="n">
        <v>3.31181734</v>
      </c>
      <c r="G20" s="18" t="n">
        <v>37.6750682</v>
      </c>
      <c r="H20" s="20" t="n">
        <v>3.31181734</v>
      </c>
      <c r="I20" s="18" t="s">
        <v>349</v>
      </c>
      <c r="J20" s="20" t="s">
        <v>349</v>
      </c>
      <c r="K20" s="18" t="n">
        <v>0</v>
      </c>
      <c r="L20" s="20" t="n">
        <v>0</v>
      </c>
      <c r="M20" s="18" t="n">
        <v>0</v>
      </c>
      <c r="N20" s="20" t="n">
        <v>0</v>
      </c>
      <c r="O20" s="18" t="n">
        <v>0</v>
      </c>
      <c r="P20" s="20" t="n">
        <v>0</v>
      </c>
      <c r="Q20" s="18" t="n">
        <v>0</v>
      </c>
      <c r="R20" s="20" t="n">
        <v>0</v>
      </c>
    </row>
    <row r="21" spans="1:18">
      <c r="A21" s="15" t="s">
        <v>363</v>
      </c>
      <c r="B21" s="17" t="n">
        <v>2833</v>
      </c>
      <c r="C21" s="18">
        <f>(2345.0/B21*100)</f>
        <v/>
      </c>
      <c r="D21" s="19" t="n">
        <v>488</v>
      </c>
      <c r="E21" s="18" t="n">
        <v>62.1588941</v>
      </c>
      <c r="F21" s="20" t="n">
        <v>2.15126028</v>
      </c>
      <c r="G21" s="18" t="n">
        <v>37.69141969</v>
      </c>
      <c r="H21" s="20" t="n">
        <v>2.1315484</v>
      </c>
      <c r="I21" s="18" t="s">
        <v>349</v>
      </c>
      <c r="J21" s="20" t="s">
        <v>349</v>
      </c>
      <c r="K21" s="18" t="n">
        <v>0</v>
      </c>
      <c r="L21" s="20" t="n">
        <v>0</v>
      </c>
      <c r="M21" s="18" t="n">
        <v>0</v>
      </c>
      <c r="N21" s="20" t="n">
        <v>0</v>
      </c>
      <c r="O21" s="18" t="n">
        <v>0</v>
      </c>
      <c r="P21" s="20" t="n">
        <v>0</v>
      </c>
      <c r="Q21" s="18" t="n">
        <v>0.14968621</v>
      </c>
      <c r="R21" s="20" t="n">
        <v>0.14886979</v>
      </c>
    </row>
    <row r="22" spans="1:18">
      <c r="A22" s="15" t="s">
        <v>364</v>
      </c>
      <c r="B22" s="17" t="n">
        <v>3667</v>
      </c>
      <c r="C22" s="18">
        <f>(3225.0/B22*100)</f>
        <v/>
      </c>
      <c r="D22" s="19" t="n">
        <v>442</v>
      </c>
      <c r="E22" s="18" t="n">
        <v>62.83271524</v>
      </c>
      <c r="F22" s="20" t="n">
        <v>2.45263671</v>
      </c>
      <c r="G22" s="18" t="n">
        <v>34.68813809</v>
      </c>
      <c r="H22" s="20" t="n">
        <v>2.42474234</v>
      </c>
      <c r="I22" s="18" t="s">
        <v>349</v>
      </c>
      <c r="J22" s="20" t="s">
        <v>349</v>
      </c>
      <c r="K22" s="18" t="n">
        <v>0</v>
      </c>
      <c r="L22" s="20" t="n">
        <v>0</v>
      </c>
      <c r="M22" s="18" t="n">
        <v>0</v>
      </c>
      <c r="N22" s="20" t="n">
        <v>0</v>
      </c>
      <c r="O22" s="18" t="n">
        <v>0</v>
      </c>
      <c r="P22" s="20" t="n">
        <v>0</v>
      </c>
      <c r="Q22" s="18" t="n">
        <v>2.47914667</v>
      </c>
      <c r="R22" s="20" t="n">
        <v>0.70725565</v>
      </c>
    </row>
    <row r="23" spans="1:18">
      <c r="A23" s="15" t="s">
        <v>365</v>
      </c>
      <c r="B23" s="17" t="n">
        <v>5792</v>
      </c>
      <c r="C23" s="18">
        <f>(5067.0/B23*100)</f>
        <v/>
      </c>
      <c r="D23" s="19" t="n">
        <v>725</v>
      </c>
      <c r="E23" s="18" t="n">
        <v>56.09139918</v>
      </c>
      <c r="F23" s="20" t="n">
        <v>2.86987288</v>
      </c>
      <c r="G23" s="18" t="n">
        <v>42.5069258</v>
      </c>
      <c r="H23" s="20" t="n">
        <v>2.81590015</v>
      </c>
      <c r="I23" s="18" t="s">
        <v>349</v>
      </c>
      <c r="J23" s="20" t="s">
        <v>349</v>
      </c>
      <c r="K23" s="18" t="n">
        <v>0</v>
      </c>
      <c r="L23" s="20" t="n">
        <v>0</v>
      </c>
      <c r="M23" s="18" t="n">
        <v>0</v>
      </c>
      <c r="N23" s="20" t="n">
        <v>0</v>
      </c>
      <c r="O23" s="18" t="n">
        <v>0</v>
      </c>
      <c r="P23" s="20" t="n">
        <v>0</v>
      </c>
      <c r="Q23" s="18" t="n">
        <v>1.40167502</v>
      </c>
      <c r="R23" s="20" t="n">
        <v>0.651207</v>
      </c>
    </row>
    <row r="24" spans="1:18">
      <c r="A24" s="15" t="s">
        <v>366</v>
      </c>
      <c r="B24" s="17" t="n">
        <v>3309</v>
      </c>
      <c r="C24" s="18">
        <f>(2900.0/B24*100)</f>
        <v/>
      </c>
      <c r="D24" s="19" t="n">
        <v>409</v>
      </c>
      <c r="E24" s="18" t="n">
        <v>51.18358654</v>
      </c>
      <c r="F24" s="20" t="n">
        <v>2.58325205</v>
      </c>
      <c r="G24" s="18" t="n">
        <v>48.02746037</v>
      </c>
      <c r="H24" s="20" t="n">
        <v>2.61670355</v>
      </c>
      <c r="I24" s="18" t="s">
        <v>349</v>
      </c>
      <c r="J24" s="20" t="s">
        <v>349</v>
      </c>
      <c r="K24" s="18" t="n">
        <v>0</v>
      </c>
      <c r="L24" s="20" t="n">
        <v>0</v>
      </c>
      <c r="M24" s="18" t="n">
        <v>0</v>
      </c>
      <c r="N24" s="20" t="n">
        <v>0</v>
      </c>
      <c r="O24" s="18" t="n">
        <v>0</v>
      </c>
      <c r="P24" s="20" t="n">
        <v>0</v>
      </c>
      <c r="Q24" s="18" t="n">
        <v>0.78895308</v>
      </c>
      <c r="R24" s="20" t="n">
        <v>0.44437662</v>
      </c>
    </row>
    <row r="25" spans="1:18">
      <c r="A25" s="15" t="s">
        <v>367</v>
      </c>
      <c r="B25" s="17" t="n">
        <v>2669</v>
      </c>
      <c r="C25" s="18">
        <f>(2342.0/B25*100)</f>
        <v/>
      </c>
      <c r="D25" s="19" t="n">
        <v>327</v>
      </c>
      <c r="E25" s="18" t="n">
        <v>59.43194963</v>
      </c>
      <c r="F25" s="20" t="n">
        <v>2.33192587</v>
      </c>
      <c r="G25" s="18" t="n">
        <v>40.25387757</v>
      </c>
      <c r="H25" s="20" t="n">
        <v>2.3445254</v>
      </c>
      <c r="I25" s="18" t="s">
        <v>349</v>
      </c>
      <c r="J25" s="20" t="s">
        <v>349</v>
      </c>
      <c r="K25" s="18" t="n">
        <v>0</v>
      </c>
      <c r="L25" s="20" t="n">
        <v>0</v>
      </c>
      <c r="M25" s="18" t="n">
        <v>0</v>
      </c>
      <c r="N25" s="20" t="n">
        <v>0</v>
      </c>
      <c r="O25" s="18" t="n">
        <v>0</v>
      </c>
      <c r="P25" s="20" t="n">
        <v>0</v>
      </c>
      <c r="Q25" s="18" t="n">
        <v>0.3141728</v>
      </c>
      <c r="R25" s="20" t="n">
        <v>0.31243666</v>
      </c>
    </row>
    <row r="26" spans="1:18">
      <c r="A26" s="15" t="s">
        <v>368</v>
      </c>
      <c r="B26" s="17" t="n">
        <v>2419</v>
      </c>
      <c r="C26" s="18">
        <f>(2121.0/B26*100)</f>
        <v/>
      </c>
      <c r="D26" s="19" t="n">
        <v>298</v>
      </c>
      <c r="E26" s="18" t="n">
        <v>59.5821638</v>
      </c>
      <c r="F26" s="20" t="n">
        <v>3.29371129</v>
      </c>
      <c r="G26" s="18" t="n">
        <v>40.4178362</v>
      </c>
      <c r="H26" s="20" t="n">
        <v>3.29371129</v>
      </c>
      <c r="I26" s="18" t="s">
        <v>349</v>
      </c>
      <c r="J26" s="20" t="s">
        <v>349</v>
      </c>
      <c r="K26" s="18" t="n">
        <v>0</v>
      </c>
      <c r="L26" s="20" t="n">
        <v>0</v>
      </c>
      <c r="M26" s="18" t="n">
        <v>0</v>
      </c>
      <c r="N26" s="20" t="n">
        <v>0</v>
      </c>
      <c r="O26" s="18" t="n">
        <v>0</v>
      </c>
      <c r="P26" s="20" t="n">
        <v>0</v>
      </c>
      <c r="Q26" s="18" t="n">
        <v>0</v>
      </c>
      <c r="R26" s="20" t="n">
        <v>0</v>
      </c>
    </row>
    <row r="27" spans="1:18">
      <c r="A27" s="15" t="s">
        <v>369</v>
      </c>
      <c r="B27" s="17" t="n">
        <v>2683</v>
      </c>
      <c r="C27" s="18">
        <f>(2369.0/B27*100)</f>
        <v/>
      </c>
      <c r="D27" s="19" t="n">
        <v>314</v>
      </c>
      <c r="E27" s="18" t="n">
        <v>64.64208028</v>
      </c>
      <c r="F27" s="20" t="n">
        <v>2.30977259</v>
      </c>
      <c r="G27" s="18" t="n">
        <v>35.032792</v>
      </c>
      <c r="H27" s="20" t="n">
        <v>2.31203434</v>
      </c>
      <c r="I27" s="18" t="s">
        <v>349</v>
      </c>
      <c r="J27" s="20" t="s">
        <v>349</v>
      </c>
      <c r="K27" s="18" t="n">
        <v>0</v>
      </c>
      <c r="L27" s="20" t="n">
        <v>0</v>
      </c>
      <c r="M27" s="18" t="n">
        <v>0</v>
      </c>
      <c r="N27" s="20" t="n">
        <v>0</v>
      </c>
      <c r="O27" s="18" t="n">
        <v>0</v>
      </c>
      <c r="P27" s="20" t="n">
        <v>0</v>
      </c>
      <c r="Q27" s="18" t="n">
        <v>0.32512772</v>
      </c>
      <c r="R27" s="20" t="n">
        <v>0.32697818</v>
      </c>
    </row>
    <row r="28" spans="1:18">
      <c r="A28" s="15" t="s">
        <v>370</v>
      </c>
      <c r="B28" s="17" t="n">
        <v>3803</v>
      </c>
      <c r="C28" s="18">
        <f>(3315.0/B28*100)</f>
        <v/>
      </c>
      <c r="D28" s="19" t="n">
        <v>488</v>
      </c>
      <c r="E28" s="18" t="n">
        <v>70.72129296</v>
      </c>
      <c r="F28" s="20" t="n">
        <v>2.26979512</v>
      </c>
      <c r="G28" s="18" t="n">
        <v>28.24276779</v>
      </c>
      <c r="H28" s="20" t="n">
        <v>2.33983001</v>
      </c>
      <c r="I28" s="18" t="s">
        <v>349</v>
      </c>
      <c r="J28" s="20" t="s">
        <v>349</v>
      </c>
      <c r="K28" s="18" t="n">
        <v>0</v>
      </c>
      <c r="L28" s="20" t="n">
        <v>0</v>
      </c>
      <c r="M28" s="18" t="n">
        <v>0</v>
      </c>
      <c r="N28" s="20" t="n">
        <v>0</v>
      </c>
      <c r="O28" s="18" t="n">
        <v>0</v>
      </c>
      <c r="P28" s="20" t="n">
        <v>0</v>
      </c>
      <c r="Q28" s="18" t="n">
        <v>1.03593924</v>
      </c>
      <c r="R28" s="20" t="n">
        <v>0.59023694</v>
      </c>
    </row>
    <row r="29" spans="1:18">
      <c r="A29" s="15" t="s">
        <v>371</v>
      </c>
      <c r="B29" s="17" t="n">
        <v>2700</v>
      </c>
      <c r="C29" s="18">
        <f>(2368.0/B29*100)</f>
        <v/>
      </c>
      <c r="D29" s="19" t="n">
        <v>332</v>
      </c>
      <c r="E29" s="18" t="n">
        <v>57.95342469</v>
      </c>
      <c r="F29" s="20" t="n">
        <v>3.06583546</v>
      </c>
      <c r="G29" s="18" t="n">
        <v>41.81385768</v>
      </c>
      <c r="H29" s="20" t="n">
        <v>3.07158502</v>
      </c>
      <c r="I29" s="18" t="s">
        <v>349</v>
      </c>
      <c r="J29" s="20" t="s">
        <v>349</v>
      </c>
      <c r="K29" s="18" t="n">
        <v>0</v>
      </c>
      <c r="L29" s="20" t="n">
        <v>0</v>
      </c>
      <c r="M29" s="18" t="n">
        <v>0</v>
      </c>
      <c r="N29" s="20" t="n">
        <v>0</v>
      </c>
      <c r="O29" s="18" t="n">
        <v>0</v>
      </c>
      <c r="P29" s="20" t="n">
        <v>0</v>
      </c>
      <c r="Q29" s="18" t="n">
        <v>0.23271763</v>
      </c>
      <c r="R29" s="20" t="n">
        <v>0.22691597</v>
      </c>
    </row>
    <row r="30" spans="1:18">
      <c r="A30" s="15" t="s">
        <v>372</v>
      </c>
      <c r="B30" s="17" t="n">
        <v>2257</v>
      </c>
      <c r="C30" s="18">
        <f>(1980.0/B30*100)</f>
        <v/>
      </c>
      <c r="D30" s="19" t="n">
        <v>277</v>
      </c>
      <c r="E30" s="18" t="n">
        <v>57.95762355</v>
      </c>
      <c r="F30" s="20" t="n">
        <v>3.23559635</v>
      </c>
      <c r="G30" s="18" t="n">
        <v>41.6922068</v>
      </c>
      <c r="H30" s="20" t="n">
        <v>3.2091338</v>
      </c>
      <c r="I30" s="18" t="s">
        <v>349</v>
      </c>
      <c r="J30" s="20" t="s">
        <v>349</v>
      </c>
      <c r="K30" s="18" t="n">
        <v>0</v>
      </c>
      <c r="L30" s="20" t="n">
        <v>0</v>
      </c>
      <c r="M30" s="18" t="n">
        <v>0</v>
      </c>
      <c r="N30" s="20" t="n">
        <v>0</v>
      </c>
      <c r="O30" s="18" t="n">
        <v>0</v>
      </c>
      <c r="P30" s="20" t="n">
        <v>0</v>
      </c>
      <c r="Q30" s="18" t="n">
        <v>0.35016964</v>
      </c>
      <c r="R30" s="20" t="n">
        <v>0.30978558</v>
      </c>
    </row>
    <row r="31" spans="1:18">
      <c r="A31" s="15" t="s">
        <v>373</v>
      </c>
      <c r="B31" s="17" t="n">
        <v>2706</v>
      </c>
      <c r="C31" s="18">
        <f>(2365.0/B31*100)</f>
        <v/>
      </c>
      <c r="D31" s="19" t="n">
        <v>341</v>
      </c>
      <c r="E31" s="18" t="n">
        <v>51.34374966</v>
      </c>
      <c r="F31" s="20" t="n">
        <v>2.50061235</v>
      </c>
      <c r="G31" s="18" t="n">
        <v>47.78466723</v>
      </c>
      <c r="H31" s="20" t="n">
        <v>2.53998571</v>
      </c>
      <c r="I31" s="18" t="s">
        <v>349</v>
      </c>
      <c r="J31" s="20" t="s">
        <v>349</v>
      </c>
      <c r="K31" s="18" t="n">
        <v>0</v>
      </c>
      <c r="L31" s="20" t="n">
        <v>0</v>
      </c>
      <c r="M31" s="18" t="n">
        <v>0</v>
      </c>
      <c r="N31" s="20" t="n">
        <v>0</v>
      </c>
      <c r="O31" s="18" t="n">
        <v>0</v>
      </c>
      <c r="P31" s="20" t="n">
        <v>0</v>
      </c>
      <c r="Q31" s="18" t="n">
        <v>0.87158311</v>
      </c>
      <c r="R31" s="20" t="n">
        <v>0.49550691</v>
      </c>
    </row>
    <row r="32" spans="1:18">
      <c r="A32" s="15" t="s">
        <v>374</v>
      </c>
      <c r="B32" s="17" t="n">
        <v>2209</v>
      </c>
      <c r="C32" s="18">
        <f>(1857.0/B32*100)</f>
        <v/>
      </c>
      <c r="D32" s="19" t="n">
        <v>352</v>
      </c>
      <c r="E32" s="18" t="n">
        <v>59.15748066</v>
      </c>
      <c r="F32" s="20" t="n">
        <v>2.55750198</v>
      </c>
      <c r="G32" s="18" t="n">
        <v>39.9897131</v>
      </c>
      <c r="H32" s="20" t="n">
        <v>2.54901775</v>
      </c>
      <c r="I32" s="18" t="s">
        <v>349</v>
      </c>
      <c r="J32" s="20" t="s">
        <v>349</v>
      </c>
      <c r="K32" s="18" t="n">
        <v>0</v>
      </c>
      <c r="L32" s="20" t="n">
        <v>0</v>
      </c>
      <c r="M32" s="18" t="n">
        <v>0</v>
      </c>
      <c r="N32" s="20" t="n">
        <v>0</v>
      </c>
      <c r="O32" s="18" t="n">
        <v>0</v>
      </c>
      <c r="P32" s="20" t="n">
        <v>0</v>
      </c>
      <c r="Q32" s="18" t="n">
        <v>0.85280625</v>
      </c>
      <c r="R32" s="20" t="n">
        <v>0.48537621</v>
      </c>
    </row>
    <row r="33" spans="1:18">
      <c r="A33" s="15" t="s">
        <v>375</v>
      </c>
      <c r="B33" s="17" t="n">
        <v>3651</v>
      </c>
      <c r="C33" s="18">
        <f>(3191.0/B33*100)</f>
        <v/>
      </c>
      <c r="D33" s="19" t="n">
        <v>460</v>
      </c>
      <c r="E33" s="18" t="n">
        <v>62.81846645</v>
      </c>
      <c r="F33" s="20" t="n">
        <v>2.50226282</v>
      </c>
      <c r="G33" s="18" t="n">
        <v>36.72396684</v>
      </c>
      <c r="H33" s="20" t="n">
        <v>2.49689909</v>
      </c>
      <c r="I33" s="18" t="s">
        <v>349</v>
      </c>
      <c r="J33" s="20" t="s">
        <v>349</v>
      </c>
      <c r="K33" s="18" t="n">
        <v>0</v>
      </c>
      <c r="L33" s="20" t="n">
        <v>0</v>
      </c>
      <c r="M33" s="18" t="n">
        <v>0</v>
      </c>
      <c r="N33" s="20" t="n">
        <v>0</v>
      </c>
      <c r="O33" s="18" t="n">
        <v>0</v>
      </c>
      <c r="P33" s="20" t="n">
        <v>0</v>
      </c>
      <c r="Q33" s="18" t="n">
        <v>0.45756671</v>
      </c>
      <c r="R33" s="20" t="n">
        <v>0.14549253</v>
      </c>
    </row>
    <row r="34" spans="1:18">
      <c r="A34" s="15" t="s">
        <v>376</v>
      </c>
      <c r="B34" s="17" t="n">
        <v>3035</v>
      </c>
      <c r="C34" s="18">
        <f>(2687.0/B34*100)</f>
        <v/>
      </c>
      <c r="D34" s="19" t="n">
        <v>348</v>
      </c>
      <c r="E34" s="18" t="n">
        <v>59.17158942</v>
      </c>
      <c r="F34" s="20" t="n">
        <v>2.99156413</v>
      </c>
      <c r="G34" s="18" t="n">
        <v>40.09579071</v>
      </c>
      <c r="H34" s="20" t="n">
        <v>2.97798439</v>
      </c>
      <c r="I34" s="18" t="s">
        <v>349</v>
      </c>
      <c r="J34" s="20" t="s">
        <v>349</v>
      </c>
      <c r="K34" s="18" t="n">
        <v>0</v>
      </c>
      <c r="L34" s="20" t="n">
        <v>0</v>
      </c>
      <c r="M34" s="18" t="n">
        <v>0</v>
      </c>
      <c r="N34" s="20" t="n">
        <v>0</v>
      </c>
      <c r="O34" s="18" t="n">
        <v>0</v>
      </c>
      <c r="P34" s="20" t="n">
        <v>0</v>
      </c>
      <c r="Q34" s="18" t="n">
        <v>0.73261987</v>
      </c>
      <c r="R34" s="20" t="n">
        <v>0.53635942</v>
      </c>
    </row>
    <row r="35" spans="1:18">
      <c r="A35" s="15" t="s">
        <v>377</v>
      </c>
      <c r="B35" s="17" t="n">
        <v>2901</v>
      </c>
      <c r="C35" s="18">
        <f>(2566.0/B35*100)</f>
        <v/>
      </c>
      <c r="D35" s="19" t="n">
        <v>335</v>
      </c>
      <c r="E35" s="18" t="n">
        <v>55.59401947</v>
      </c>
      <c r="F35" s="20" t="n">
        <v>3.21025479</v>
      </c>
      <c r="G35" s="18" t="n">
        <v>43.8328483</v>
      </c>
      <c r="H35" s="20" t="n">
        <v>3.173624</v>
      </c>
      <c r="I35" s="18" t="s">
        <v>349</v>
      </c>
      <c r="J35" s="20" t="s">
        <v>349</v>
      </c>
      <c r="K35" s="18" t="n">
        <v>0</v>
      </c>
      <c r="L35" s="20" t="n">
        <v>0</v>
      </c>
      <c r="M35" s="18" t="n">
        <v>0</v>
      </c>
      <c r="N35" s="20" t="n">
        <v>0</v>
      </c>
      <c r="O35" s="18" t="n">
        <v>0</v>
      </c>
      <c r="P35" s="20" t="n">
        <v>0</v>
      </c>
      <c r="Q35" s="18" t="n">
        <v>0.57313223</v>
      </c>
      <c r="R35" s="20" t="n">
        <v>0.47664921</v>
      </c>
    </row>
    <row r="36" spans="1:18">
      <c r="A36" s="15" t="s">
        <v>378</v>
      </c>
      <c r="B36" s="17" t="n">
        <v>3404</v>
      </c>
      <c r="C36" s="18">
        <f>(2996.0/B36*100)</f>
        <v/>
      </c>
      <c r="D36" s="19" t="n">
        <v>408</v>
      </c>
      <c r="E36" s="18" t="n">
        <v>63.45313219</v>
      </c>
      <c r="F36" s="20" t="n">
        <v>2.24250364</v>
      </c>
      <c r="G36" s="18" t="n">
        <v>34.60960541</v>
      </c>
      <c r="H36" s="20" t="n">
        <v>2.24169846</v>
      </c>
      <c r="I36" s="18" t="s">
        <v>349</v>
      </c>
      <c r="J36" s="20" t="s">
        <v>349</v>
      </c>
      <c r="K36" s="18" t="n">
        <v>0.40279239</v>
      </c>
      <c r="L36" s="20" t="n">
        <v>0.36385066</v>
      </c>
      <c r="M36" s="18" t="n">
        <v>0</v>
      </c>
      <c r="N36" s="20" t="n">
        <v>0</v>
      </c>
      <c r="O36" s="18" t="n">
        <v>0</v>
      </c>
      <c r="P36" s="20" t="n">
        <v>0</v>
      </c>
      <c r="Q36" s="18" t="n">
        <v>1.53447001</v>
      </c>
      <c r="R36" s="20" t="n">
        <v>0.51124547</v>
      </c>
    </row>
    <row r="37" spans="1:18">
      <c r="A37" s="15" t="s">
        <v>379</v>
      </c>
      <c r="B37" s="17" t="n">
        <v>2731</v>
      </c>
      <c r="C37" s="18">
        <f>(2383.0/B37*100)</f>
        <v/>
      </c>
      <c r="D37" s="19" t="n">
        <v>348</v>
      </c>
      <c r="E37" s="18" t="n">
        <v>61.90471948</v>
      </c>
      <c r="F37" s="20" t="n">
        <v>2.48518915</v>
      </c>
      <c r="G37" s="18" t="n">
        <v>37.57963465</v>
      </c>
      <c r="H37" s="20" t="n">
        <v>2.46721863</v>
      </c>
      <c r="I37" s="18" t="s">
        <v>349</v>
      </c>
      <c r="J37" s="20" t="s">
        <v>349</v>
      </c>
      <c r="K37" s="18" t="n">
        <v>0</v>
      </c>
      <c r="L37" s="20" t="n">
        <v>0</v>
      </c>
      <c r="M37" s="18" t="n">
        <v>0</v>
      </c>
      <c r="N37" s="20" t="n">
        <v>0</v>
      </c>
      <c r="O37" s="18" t="n">
        <v>0</v>
      </c>
      <c r="P37" s="20" t="n">
        <v>0</v>
      </c>
      <c r="Q37" s="18" t="n">
        <v>0.51564587</v>
      </c>
      <c r="R37" s="20" t="n">
        <v>0.35814388</v>
      </c>
    </row>
    <row r="38" spans="1:18">
      <c r="A38" s="15" t="s">
        <v>380</v>
      </c>
      <c r="B38" s="17" t="n">
        <v>2807</v>
      </c>
      <c r="C38" s="18">
        <f>(2326.0/B38*100)</f>
        <v/>
      </c>
      <c r="D38" s="19" t="n">
        <v>481</v>
      </c>
      <c r="E38" s="18" t="n">
        <v>54.52096792</v>
      </c>
      <c r="F38" s="20" t="n">
        <v>2.41176183</v>
      </c>
      <c r="G38" s="18" t="n">
        <v>44.23372491</v>
      </c>
      <c r="H38" s="20" t="n">
        <v>2.47037157</v>
      </c>
      <c r="I38" s="18" t="s">
        <v>349</v>
      </c>
      <c r="J38" s="20" t="s">
        <v>349</v>
      </c>
      <c r="K38" s="18" t="n">
        <v>0.17485222</v>
      </c>
      <c r="L38" s="20" t="n">
        <v>0.17421031</v>
      </c>
      <c r="M38" s="18" t="n">
        <v>0</v>
      </c>
      <c r="N38" s="20" t="n">
        <v>0</v>
      </c>
      <c r="O38" s="18" t="n">
        <v>0</v>
      </c>
      <c r="P38" s="20" t="n">
        <v>0</v>
      </c>
      <c r="Q38" s="18" t="n">
        <v>1.07045495</v>
      </c>
      <c r="R38" s="20" t="n">
        <v>0.50087721</v>
      </c>
    </row>
    <row r="39" spans="1:18">
      <c r="A39" s="15" t="s">
        <v>381</v>
      </c>
      <c r="B39" s="17" t="n">
        <v>2938</v>
      </c>
      <c r="C39" s="18">
        <f>(2577.0/B39*100)</f>
        <v/>
      </c>
      <c r="D39" s="19" t="n">
        <v>361</v>
      </c>
      <c r="E39" s="18" t="n">
        <v>63.82249258</v>
      </c>
      <c r="F39" s="20" t="n">
        <v>2.91772085</v>
      </c>
      <c r="G39" s="18" t="n">
        <v>33.17462608</v>
      </c>
      <c r="H39" s="20" t="n">
        <v>3.06238809</v>
      </c>
      <c r="I39" s="18" t="s">
        <v>349</v>
      </c>
      <c r="J39" s="20" t="s">
        <v>349</v>
      </c>
      <c r="K39" s="18" t="n">
        <v>0</v>
      </c>
      <c r="L39" s="20" t="n">
        <v>0</v>
      </c>
      <c r="M39" s="18" t="n">
        <v>0</v>
      </c>
      <c r="N39" s="20" t="n">
        <v>0</v>
      </c>
      <c r="O39" s="18" t="n">
        <v>0</v>
      </c>
      <c r="P39" s="20" t="n">
        <v>0</v>
      </c>
      <c r="Q39" s="18" t="n">
        <v>3.00288134</v>
      </c>
      <c r="R39" s="20" t="n">
        <v>1.11280059</v>
      </c>
    </row>
    <row r="40" spans="1:18">
      <c r="A40" s="15" t="s">
        <v>382</v>
      </c>
      <c r="B40" s="17" t="n">
        <v>6922</v>
      </c>
      <c r="C40" s="18">
        <f>(6084.0/B40*100)</f>
        <v/>
      </c>
      <c r="D40" s="19" t="n">
        <v>838</v>
      </c>
      <c r="E40" s="18" t="n">
        <v>59.3965354</v>
      </c>
      <c r="F40" s="20" t="n">
        <v>2.36517687</v>
      </c>
      <c r="G40" s="18" t="n">
        <v>40.11850048</v>
      </c>
      <c r="H40" s="20" t="n">
        <v>2.30842933</v>
      </c>
      <c r="I40" s="18" t="s">
        <v>349</v>
      </c>
      <c r="J40" s="20" t="s">
        <v>349</v>
      </c>
      <c r="K40" s="18" t="n">
        <v>0.43907895</v>
      </c>
      <c r="L40" s="20" t="n">
        <v>0.45765648</v>
      </c>
      <c r="M40" s="18" t="n">
        <v>0</v>
      </c>
      <c r="N40" s="20" t="n">
        <v>0</v>
      </c>
      <c r="O40" s="18" t="n">
        <v>0</v>
      </c>
      <c r="P40" s="20" t="n">
        <v>0</v>
      </c>
      <c r="Q40" s="18" t="n">
        <v>0.04588518</v>
      </c>
      <c r="R40" s="20" t="n">
        <v>0.04124376</v>
      </c>
    </row>
    <row r="41" spans="1:18">
      <c r="A41" s="15" t="s">
        <v>383</v>
      </c>
      <c r="B41" s="17" t="n">
        <v>2854</v>
      </c>
      <c r="C41" s="18">
        <f>(2506.0/B41*100)</f>
        <v/>
      </c>
      <c r="D41" s="19" t="n">
        <v>348</v>
      </c>
      <c r="E41" s="18" t="n">
        <v>61.21126307</v>
      </c>
      <c r="F41" s="20" t="n">
        <v>2.58571874</v>
      </c>
      <c r="G41" s="18" t="n">
        <v>37.85001014</v>
      </c>
      <c r="H41" s="20" t="n">
        <v>2.5791164</v>
      </c>
      <c r="I41" s="18" t="s">
        <v>349</v>
      </c>
      <c r="J41" s="20" t="s">
        <v>349</v>
      </c>
      <c r="K41" s="18" t="n">
        <v>0</v>
      </c>
      <c r="L41" s="20" t="n">
        <v>0</v>
      </c>
      <c r="M41" s="18" t="n">
        <v>0</v>
      </c>
      <c r="N41" s="20" t="n">
        <v>0</v>
      </c>
      <c r="O41" s="18" t="n">
        <v>0</v>
      </c>
      <c r="P41" s="20" t="n">
        <v>0</v>
      </c>
      <c r="Q41" s="18" t="n">
        <v>0.93872679</v>
      </c>
      <c r="R41" s="20" t="n">
        <v>0.47064164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(10670.0/B46*100)</f>
        <v/>
      </c>
      <c r="D46" s="19" t="n">
        <v>1403</v>
      </c>
      <c r="E46" s="18" t="n">
        <v>71.65505337</v>
      </c>
      <c r="F46" s="20" t="n">
        <v>1.59860529</v>
      </c>
      <c r="G46" s="18" t="n">
        <v>26.26453028</v>
      </c>
      <c r="H46" s="20" t="n">
        <v>1.51952129</v>
      </c>
      <c r="I46" s="18" t="s">
        <v>349</v>
      </c>
      <c r="J46" s="20" t="s">
        <v>349</v>
      </c>
      <c r="K46" s="18" t="n">
        <v>0.10035556</v>
      </c>
      <c r="L46" s="20" t="n">
        <v>0.08727266</v>
      </c>
      <c r="M46" s="18" t="n">
        <v>0</v>
      </c>
      <c r="N46" s="20" t="n">
        <v>0</v>
      </c>
      <c r="O46" s="18" t="n">
        <v>0</v>
      </c>
      <c r="P46" s="20" t="n">
        <v>0</v>
      </c>
      <c r="Q46" s="18" t="n">
        <v>1.98006079</v>
      </c>
      <c r="R46" s="20" t="n">
        <v>0.38659929</v>
      </c>
    </row>
    <row r="47" spans="1:18">
      <c r="A47" s="15" t="s">
        <v>389</v>
      </c>
      <c r="B47" s="17" t="n">
        <v>2823</v>
      </c>
      <c r="C47" s="18">
        <f>(2478.0/B47*100)</f>
        <v/>
      </c>
      <c r="D47" s="19" t="n">
        <v>345</v>
      </c>
      <c r="E47" s="18" t="n">
        <v>62.08860619</v>
      </c>
      <c r="F47" s="20" t="n">
        <v>2.6582394</v>
      </c>
      <c r="G47" s="18" t="n">
        <v>37.38069098</v>
      </c>
      <c r="H47" s="20" t="n">
        <v>2.62172792</v>
      </c>
      <c r="I47" s="18" t="s">
        <v>349</v>
      </c>
      <c r="J47" s="20" t="s">
        <v>349</v>
      </c>
      <c r="K47" s="18" t="n">
        <v>0.26758672</v>
      </c>
      <c r="L47" s="20" t="n">
        <v>0.26762564</v>
      </c>
      <c r="M47" s="18" t="n">
        <v>0</v>
      </c>
      <c r="N47" s="20" t="n">
        <v>0</v>
      </c>
      <c r="O47" s="18" t="n">
        <v>0</v>
      </c>
      <c r="P47" s="20" t="n">
        <v>0</v>
      </c>
      <c r="Q47" s="18" t="n">
        <v>0.26311612</v>
      </c>
      <c r="R47" s="20" t="n">
        <v>0.26507926</v>
      </c>
    </row>
    <row r="48" spans="1:18">
      <c r="A48" s="15" t="s">
        <v>390</v>
      </c>
      <c r="B48" s="17" t="n">
        <v>4682</v>
      </c>
      <c r="C48" s="18">
        <f>(4108.0/B48*100)</f>
        <v/>
      </c>
      <c r="D48" s="19" t="n">
        <v>574</v>
      </c>
      <c r="E48" s="18" t="n">
        <v>56.70713227</v>
      </c>
      <c r="F48" s="20" t="n">
        <v>3.35949405</v>
      </c>
      <c r="G48" s="18" t="n">
        <v>42.72391796</v>
      </c>
      <c r="H48" s="20" t="n">
        <v>3.34651281</v>
      </c>
      <c r="I48" s="18" t="s">
        <v>349</v>
      </c>
      <c r="J48" s="20" t="s">
        <v>349</v>
      </c>
      <c r="K48" s="18" t="n">
        <v>0</v>
      </c>
      <c r="L48" s="20" t="n">
        <v>0</v>
      </c>
      <c r="M48" s="18" t="n">
        <v>0</v>
      </c>
      <c r="N48" s="20" t="n">
        <v>0</v>
      </c>
      <c r="O48" s="18" t="n">
        <v>0</v>
      </c>
      <c r="P48" s="20" t="n">
        <v>0</v>
      </c>
      <c r="Q48" s="18" t="n">
        <v>0.56894977</v>
      </c>
      <c r="R48" s="20" t="n">
        <v>0.34679617</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(5400.0/B50*100)</f>
        <v/>
      </c>
      <c r="D50" s="19" t="n">
        <v>758</v>
      </c>
      <c r="E50" s="18" t="n">
        <v>69.27545791</v>
      </c>
      <c r="F50" s="20" t="n">
        <v>2.27377824</v>
      </c>
      <c r="G50" s="18" t="n">
        <v>29.73895368</v>
      </c>
      <c r="H50" s="20" t="n">
        <v>2.2163925</v>
      </c>
      <c r="I50" s="18" t="s">
        <v>349</v>
      </c>
      <c r="J50" s="20" t="s">
        <v>349</v>
      </c>
      <c r="K50" s="18" t="n">
        <v>0.03166501</v>
      </c>
      <c r="L50" s="20" t="n">
        <v>0.03345912</v>
      </c>
      <c r="M50" s="18" t="n">
        <v>0</v>
      </c>
      <c r="N50" s="20" t="n">
        <v>0</v>
      </c>
      <c r="O50" s="18" t="n">
        <v>0</v>
      </c>
      <c r="P50" s="20" t="n">
        <v>0</v>
      </c>
      <c r="Q50" s="18" t="n">
        <v>0.9539234</v>
      </c>
      <c r="R50" s="20" t="n">
        <v>0.46157279</v>
      </c>
    </row>
    <row r="51" spans="1:18">
      <c r="A51" s="15" t="s">
        <v>393</v>
      </c>
      <c r="B51" s="17" t="n">
        <v>3494</v>
      </c>
      <c r="C51" s="18">
        <f>(3090.0/B51*100)</f>
        <v/>
      </c>
      <c r="D51" s="19" t="n">
        <v>404</v>
      </c>
      <c r="E51" s="18" t="n">
        <v>74.93691108</v>
      </c>
      <c r="F51" s="20" t="n">
        <v>2.21819285</v>
      </c>
      <c r="G51" s="18" t="n">
        <v>23.18266104</v>
      </c>
      <c r="H51" s="20" t="n">
        <v>2.06354996</v>
      </c>
      <c r="I51" s="18" t="s">
        <v>349</v>
      </c>
      <c r="J51" s="20" t="s">
        <v>349</v>
      </c>
      <c r="K51" s="18" t="n">
        <v>0</v>
      </c>
      <c r="L51" s="20" t="n">
        <v>0</v>
      </c>
      <c r="M51" s="18" t="n">
        <v>0</v>
      </c>
      <c r="N51" s="20" t="n">
        <v>0</v>
      </c>
      <c r="O51" s="18" t="n">
        <v>0</v>
      </c>
      <c r="P51" s="20" t="n">
        <v>0</v>
      </c>
      <c r="Q51" s="18" t="n">
        <v>1.88042787</v>
      </c>
      <c r="R51" s="20" t="n">
        <v>0.69456216</v>
      </c>
    </row>
    <row r="52" spans="1:18">
      <c r="A52" s="15" t="s">
        <v>394</v>
      </c>
      <c r="B52" s="17" t="n">
        <v>3013</v>
      </c>
      <c r="C52" s="18">
        <f>(2637.0/B52*100)</f>
        <v/>
      </c>
      <c r="D52" s="19" t="n">
        <v>376</v>
      </c>
      <c r="E52" s="18" t="n">
        <v>58.47089796</v>
      </c>
      <c r="F52" s="20" t="n">
        <v>2.42065104</v>
      </c>
      <c r="G52" s="18" t="n">
        <v>39.95339927</v>
      </c>
      <c r="H52" s="20" t="n">
        <v>2.36511187</v>
      </c>
      <c r="I52" s="18" t="s">
        <v>349</v>
      </c>
      <c r="J52" s="20" t="s">
        <v>349</v>
      </c>
      <c r="K52" s="18" t="n">
        <v>0</v>
      </c>
      <c r="L52" s="20" t="n">
        <v>0</v>
      </c>
      <c r="M52" s="18" t="n">
        <v>0</v>
      </c>
      <c r="N52" s="20" t="n">
        <v>0</v>
      </c>
      <c r="O52" s="18" t="n">
        <v>0</v>
      </c>
      <c r="P52" s="20" t="n">
        <v>0</v>
      </c>
      <c r="Q52" s="18" t="n">
        <v>1.57570276</v>
      </c>
      <c r="R52" s="20" t="n">
        <v>0.62038013</v>
      </c>
    </row>
    <row r="53" spans="1:18">
      <c r="A53" s="15" t="s">
        <v>395</v>
      </c>
      <c r="B53" s="17" t="n">
        <v>2760</v>
      </c>
      <c r="C53" s="18">
        <f>(2409.0/B53*100)</f>
        <v/>
      </c>
      <c r="D53" s="19" t="n">
        <v>351</v>
      </c>
      <c r="E53" s="18" t="n">
        <v>59.33499262</v>
      </c>
      <c r="F53" s="20" t="n">
        <v>2.83889954</v>
      </c>
      <c r="G53" s="18" t="n">
        <v>39.41785346</v>
      </c>
      <c r="H53" s="20" t="n">
        <v>2.80110116</v>
      </c>
      <c r="I53" s="18" t="s">
        <v>349</v>
      </c>
      <c r="J53" s="20" t="s">
        <v>349</v>
      </c>
      <c r="K53" s="18" t="n">
        <v>0.2049642</v>
      </c>
      <c r="L53" s="20" t="n">
        <v>0.20833527</v>
      </c>
      <c r="M53" s="18" t="n">
        <v>0</v>
      </c>
      <c r="N53" s="20" t="n">
        <v>0</v>
      </c>
      <c r="O53" s="18" t="n">
        <v>0</v>
      </c>
      <c r="P53" s="20" t="n">
        <v>0</v>
      </c>
      <c r="Q53" s="18" t="n">
        <v>1.04218973</v>
      </c>
      <c r="R53" s="20" t="n">
        <v>0.63313317</v>
      </c>
    </row>
    <row r="54" spans="1:18">
      <c r="A54" s="15" t="s">
        <v>396</v>
      </c>
      <c r="B54" s="17" t="n">
        <v>2474</v>
      </c>
      <c r="C54" s="18">
        <f>(2081.0/B54*100)</f>
        <v/>
      </c>
      <c r="D54" s="19" t="n">
        <v>393</v>
      </c>
      <c r="E54" s="18" t="n">
        <v>68.65869164999999</v>
      </c>
      <c r="F54" s="20" t="n">
        <v>2.628776</v>
      </c>
      <c r="G54" s="18" t="n">
        <v>22.01116988</v>
      </c>
      <c r="H54" s="20" t="n">
        <v>2.41416646</v>
      </c>
      <c r="I54" s="18" t="s">
        <v>349</v>
      </c>
      <c r="J54" s="20" t="s">
        <v>349</v>
      </c>
      <c r="K54" s="18" t="n">
        <v>4.53507865</v>
      </c>
      <c r="L54" s="20" t="n">
        <v>1.32836513</v>
      </c>
      <c r="M54" s="18" t="n">
        <v>0</v>
      </c>
      <c r="N54" s="20" t="n">
        <v>0</v>
      </c>
      <c r="O54" s="18" t="n">
        <v>0</v>
      </c>
      <c r="P54" s="20" t="n">
        <v>0</v>
      </c>
      <c r="Q54" s="18" t="n">
        <v>4.79505983</v>
      </c>
      <c r="R54" s="20" t="n">
        <v>1.00042424</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(2334.0/B56*100)</f>
        <v/>
      </c>
      <c r="D56" s="19" t="n">
        <v>341</v>
      </c>
      <c r="E56" s="18" t="n">
        <v>52.63939483</v>
      </c>
      <c r="F56" s="20" t="n">
        <v>2.66893485</v>
      </c>
      <c r="G56" s="18" t="n">
        <v>46.77235125</v>
      </c>
      <c r="H56" s="20" t="n">
        <v>2.67907361</v>
      </c>
      <c r="I56" s="18" t="s">
        <v>349</v>
      </c>
      <c r="J56" s="20" t="s">
        <v>349</v>
      </c>
      <c r="K56" s="18" t="n">
        <v>0.26785943</v>
      </c>
      <c r="L56" s="20" t="n">
        <v>0.29770814</v>
      </c>
      <c r="M56" s="18" t="n">
        <v>0</v>
      </c>
      <c r="N56" s="20" t="n">
        <v>0</v>
      </c>
      <c r="O56" s="18" t="n">
        <v>0</v>
      </c>
      <c r="P56" s="20" t="n">
        <v>0</v>
      </c>
      <c r="Q56" s="18" t="n">
        <v>0.32039449</v>
      </c>
      <c r="R56" s="20" t="n">
        <v>0.31115357</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(2813.0/B61*100)</f>
        <v/>
      </c>
      <c r="D61" s="19" t="n">
        <v>388</v>
      </c>
      <c r="E61" s="18" t="n">
        <v>59.77608565</v>
      </c>
      <c r="F61" s="20" t="n">
        <v>2.8751131</v>
      </c>
      <c r="G61" s="18" t="n">
        <v>39.62680896</v>
      </c>
      <c r="H61" s="20" t="n">
        <v>2.86863644</v>
      </c>
      <c r="I61" s="18" t="s">
        <v>349</v>
      </c>
      <c r="J61" s="20" t="s">
        <v>349</v>
      </c>
      <c r="K61" s="18" t="n">
        <v>0</v>
      </c>
      <c r="L61" s="20" t="n">
        <v>0</v>
      </c>
      <c r="M61" s="18" t="n">
        <v>0</v>
      </c>
      <c r="N61" s="20" t="n">
        <v>0</v>
      </c>
      <c r="O61" s="18" t="n">
        <v>0</v>
      </c>
      <c r="P61" s="20" t="n">
        <v>0</v>
      </c>
      <c r="Q61" s="18" t="n">
        <v>0.59710539</v>
      </c>
      <c r="R61" s="20" t="n">
        <v>0.40259724</v>
      </c>
    </row>
    <row r="62" spans="1:18">
      <c r="A62" s="15" t="s">
        <v>404</v>
      </c>
      <c r="B62" s="17" t="n">
        <v>2230</v>
      </c>
      <c r="C62" s="18">
        <f>(1941.0/B62*100)</f>
        <v/>
      </c>
      <c r="D62" s="19" t="n">
        <v>289</v>
      </c>
      <c r="E62" s="18" t="n">
        <v>46.38534617</v>
      </c>
      <c r="F62" s="20" t="n">
        <v>3.12806654</v>
      </c>
      <c r="G62" s="18" t="n">
        <v>53.61465383</v>
      </c>
      <c r="H62" s="20" t="n">
        <v>3.12806654</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(2417.0/B66*100)</f>
        <v/>
      </c>
      <c r="D66" s="19" t="n">
        <v>354</v>
      </c>
      <c r="E66" s="18" t="n">
        <v>67.59710946</v>
      </c>
      <c r="F66" s="20" t="n">
        <v>2.52297642</v>
      </c>
      <c r="G66" s="18" t="n">
        <v>29.4923272</v>
      </c>
      <c r="H66" s="20" t="n">
        <v>2.55443239</v>
      </c>
      <c r="I66" s="18" t="s">
        <v>349</v>
      </c>
      <c r="J66" s="20" t="s">
        <v>349</v>
      </c>
      <c r="K66" s="18" t="n">
        <v>0</v>
      </c>
      <c r="L66" s="20" t="n">
        <v>0</v>
      </c>
      <c r="M66" s="18" t="n">
        <v>0</v>
      </c>
      <c r="N66" s="20" t="n">
        <v>0</v>
      </c>
      <c r="O66" s="18" t="n">
        <v>0</v>
      </c>
      <c r="P66" s="20" t="n">
        <v>0</v>
      </c>
      <c r="Q66" s="18" t="n">
        <v>2.91056334</v>
      </c>
      <c r="R66" s="20" t="n">
        <v>0.94927045</v>
      </c>
    </row>
    <row r="67" spans="1:18">
      <c r="A67" s="15" t="s">
        <v>409</v>
      </c>
      <c r="B67" s="17" t="n">
        <v>3460</v>
      </c>
      <c r="C67" s="18">
        <f>(3032.0/B67*100)</f>
        <v/>
      </c>
      <c r="D67" s="19" t="n">
        <v>428</v>
      </c>
      <c r="E67" s="18" t="n">
        <v>72.08907057</v>
      </c>
      <c r="F67" s="20" t="n">
        <v>2.20388946</v>
      </c>
      <c r="G67" s="18" t="n">
        <v>25.82648169</v>
      </c>
      <c r="H67" s="20" t="n">
        <v>2.1239648</v>
      </c>
      <c r="I67" s="18" t="s">
        <v>349</v>
      </c>
      <c r="J67" s="20" t="s">
        <v>349</v>
      </c>
      <c r="K67" s="18" t="n">
        <v>0</v>
      </c>
      <c r="L67" s="20" t="n">
        <v>0</v>
      </c>
      <c r="M67" s="18" t="n">
        <v>0</v>
      </c>
      <c r="N67" s="20" t="n">
        <v>0</v>
      </c>
      <c r="O67" s="18" t="n">
        <v>0</v>
      </c>
      <c r="P67" s="20" t="n">
        <v>0</v>
      </c>
      <c r="Q67" s="18" t="n">
        <v>2.08444775</v>
      </c>
      <c r="R67" s="20" t="n">
        <v>0.61462383</v>
      </c>
    </row>
    <row r="68" spans="1:18">
      <c r="A68" s="15" t="s">
        <v>410</v>
      </c>
      <c r="B68" s="17" t="n">
        <v>6034</v>
      </c>
      <c r="C68" s="18">
        <f>(5026.0/B68*100)</f>
        <v/>
      </c>
      <c r="D68" s="19" t="n">
        <v>1008</v>
      </c>
      <c r="E68" s="18" t="n">
        <v>68.17849907999999</v>
      </c>
      <c r="F68" s="20" t="n">
        <v>1.24872512</v>
      </c>
      <c r="G68" s="18" t="n">
        <v>30.32405118</v>
      </c>
      <c r="H68" s="20" t="n">
        <v>1.29425819</v>
      </c>
      <c r="I68" s="18" t="s">
        <v>349</v>
      </c>
      <c r="J68" s="20" t="s">
        <v>349</v>
      </c>
      <c r="K68" s="18" t="n">
        <v>0.29473084</v>
      </c>
      <c r="L68" s="20" t="n">
        <v>0.17112867</v>
      </c>
      <c r="M68" s="18" t="n">
        <v>0</v>
      </c>
      <c r="N68" s="20" t="n">
        <v>0</v>
      </c>
      <c r="O68" s="18" t="n">
        <v>0</v>
      </c>
      <c r="P68" s="20" t="n">
        <v>0</v>
      </c>
      <c r="Q68" s="18" t="n">
        <v>1.20271889</v>
      </c>
      <c r="R68" s="20" t="n">
        <v>0.36246174</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(2706.0/B70*100)</f>
        <v/>
      </c>
      <c r="D70" s="19" t="n">
        <v>401</v>
      </c>
      <c r="E70" s="18" t="n">
        <v>56.52749532</v>
      </c>
      <c r="F70" s="20" t="n">
        <v>3.09002882</v>
      </c>
      <c r="G70" s="18" t="n">
        <v>42.793585</v>
      </c>
      <c r="H70" s="20" t="n">
        <v>3.03956036</v>
      </c>
      <c r="I70" s="18" t="s">
        <v>349</v>
      </c>
      <c r="J70" s="20" t="s">
        <v>349</v>
      </c>
      <c r="K70" s="18" t="n">
        <v>0</v>
      </c>
      <c r="L70" s="20" t="n">
        <v>0</v>
      </c>
      <c r="M70" s="18" t="n">
        <v>0</v>
      </c>
      <c r="N70" s="20" t="n">
        <v>0</v>
      </c>
      <c r="O70" s="18" t="n">
        <v>0</v>
      </c>
      <c r="P70" s="20" t="n">
        <v>0</v>
      </c>
      <c r="Q70" s="18" t="n">
        <v>0.67891968</v>
      </c>
      <c r="R70" s="20" t="n">
        <v>0.53617696</v>
      </c>
    </row>
    <row r="71" spans="1:18">
      <c r="A71" s="15" t="s">
        <v>413</v>
      </c>
      <c r="B71" s="17" t="n">
        <v>2973</v>
      </c>
      <c r="C71" s="18">
        <f>(2627.0/B71*100)</f>
        <v/>
      </c>
      <c r="D71" s="19" t="n">
        <v>346</v>
      </c>
      <c r="E71" s="18" t="n">
        <v>44.00730859</v>
      </c>
      <c r="F71" s="20" t="n">
        <v>2.62187187</v>
      </c>
      <c r="G71" s="18" t="n">
        <v>55.79734578</v>
      </c>
      <c r="H71" s="20" t="n">
        <v>2.61182397</v>
      </c>
      <c r="I71" s="18" t="s">
        <v>349</v>
      </c>
      <c r="J71" s="20" t="s">
        <v>349</v>
      </c>
      <c r="K71" s="18" t="n">
        <v>0</v>
      </c>
      <c r="L71" s="20" t="n">
        <v>0</v>
      </c>
      <c r="M71" s="18" t="n">
        <v>0</v>
      </c>
      <c r="N71" s="20" t="n">
        <v>0</v>
      </c>
      <c r="O71" s="18" t="n">
        <v>0</v>
      </c>
      <c r="P71" s="20" t="n">
        <v>0</v>
      </c>
      <c r="Q71" s="18" t="n">
        <v>0.19534562</v>
      </c>
      <c r="R71" s="20" t="n">
        <v>0.19597955</v>
      </c>
    </row>
    <row r="72" spans="1:18">
      <c r="A72" s="15" t="s">
        <v>414</v>
      </c>
      <c r="B72" s="17" t="n">
        <v>3819</v>
      </c>
      <c r="C72" s="18">
        <f>(3365.0/B72*100)</f>
        <v/>
      </c>
      <c r="D72" s="19" t="n">
        <v>454</v>
      </c>
      <c r="E72" s="18" t="n">
        <v>56.35932246</v>
      </c>
      <c r="F72" s="20" t="n">
        <v>2.64099063</v>
      </c>
      <c r="G72" s="18" t="n">
        <v>43.64067754</v>
      </c>
      <c r="H72" s="20" t="n">
        <v>2.64099063</v>
      </c>
      <c r="I72" s="18" t="s">
        <v>349</v>
      </c>
      <c r="J72" s="20" t="s">
        <v>349</v>
      </c>
      <c r="K72" s="18" t="n">
        <v>0</v>
      </c>
      <c r="L72" s="20" t="n">
        <v>0</v>
      </c>
      <c r="M72" s="18" t="n">
        <v>0</v>
      </c>
      <c r="N72" s="20" t="n">
        <v>0</v>
      </c>
      <c r="O72" s="18" t="n">
        <v>0</v>
      </c>
      <c r="P72" s="20" t="n">
        <v>0</v>
      </c>
      <c r="Q72" s="18" t="n">
        <v>0</v>
      </c>
      <c r="R72" s="20" t="n">
        <v>0</v>
      </c>
    </row>
    <row r="73" spans="1:18">
      <c r="A73" s="15" t="s">
        <v>415</v>
      </c>
      <c r="B73" s="17" t="n">
        <v>4652</v>
      </c>
      <c r="C73" s="18">
        <f>(4060.0/B73*100)</f>
        <v/>
      </c>
      <c r="D73" s="19" t="n">
        <v>592</v>
      </c>
      <c r="E73" s="18" t="n">
        <v>58.92181418</v>
      </c>
      <c r="F73" s="20" t="n">
        <v>2.5866677</v>
      </c>
      <c r="G73" s="18" t="n">
        <v>40.69760125</v>
      </c>
      <c r="H73" s="20" t="n">
        <v>2.64302973</v>
      </c>
      <c r="I73" s="18" t="s">
        <v>349</v>
      </c>
      <c r="J73" s="20" t="s">
        <v>349</v>
      </c>
      <c r="K73" s="18" t="n">
        <v>0.05991947</v>
      </c>
      <c r="L73" s="20" t="n">
        <v>0.06330505</v>
      </c>
      <c r="M73" s="18" t="n">
        <v>0</v>
      </c>
      <c r="N73" s="20" t="n">
        <v>0</v>
      </c>
      <c r="O73" s="18" t="n">
        <v>0</v>
      </c>
      <c r="P73" s="20" t="n">
        <v>0</v>
      </c>
      <c r="Q73" s="18" t="n">
        <v>0.32066509</v>
      </c>
      <c r="R73" s="20" t="n">
        <v>0.32313976</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(2643.0/B75*100)</f>
        <v/>
      </c>
      <c r="D75" s="19" t="n">
        <v>326</v>
      </c>
      <c r="E75" s="18" t="n">
        <v>67.14912094</v>
      </c>
      <c r="F75" s="20" t="n">
        <v>2.44516005</v>
      </c>
      <c r="G75" s="18" t="n">
        <v>28.06672671</v>
      </c>
      <c r="H75" s="20" t="n">
        <v>2.38869527</v>
      </c>
      <c r="I75" s="18" t="s">
        <v>349</v>
      </c>
      <c r="J75" s="20" t="s">
        <v>349</v>
      </c>
      <c r="K75" s="18" t="n">
        <v>0.32165004</v>
      </c>
      <c r="L75" s="20" t="n">
        <v>0.22972214</v>
      </c>
      <c r="M75" s="18" t="n">
        <v>0</v>
      </c>
      <c r="N75" s="20" t="n">
        <v>0</v>
      </c>
      <c r="O75" s="18" t="n">
        <v>0</v>
      </c>
      <c r="P75" s="20" t="n">
        <v>0</v>
      </c>
      <c r="Q75" s="18" t="n">
        <v>4.46250232</v>
      </c>
      <c r="R75" s="20" t="n">
        <v>1.4159092</v>
      </c>
    </row>
    <row r="76" spans="1:18">
      <c r="A76" s="15" t="s">
        <v>418</v>
      </c>
      <c r="B76" s="17" t="n">
        <v>7115</v>
      </c>
      <c r="C76" s="18">
        <f>(6259.0/B76*100)</f>
        <v/>
      </c>
      <c r="D76" s="19" t="n">
        <v>856</v>
      </c>
      <c r="E76" s="18" t="n">
        <v>39.88292556</v>
      </c>
      <c r="F76" s="20" t="n">
        <v>2.40037907</v>
      </c>
      <c r="G76" s="18" t="n">
        <v>17.38534502</v>
      </c>
      <c r="H76" s="20" t="n">
        <v>1.62575356</v>
      </c>
      <c r="I76" s="18" t="s">
        <v>349</v>
      </c>
      <c r="J76" s="20" t="s">
        <v>349</v>
      </c>
      <c r="K76" s="18" t="n">
        <v>0.36125063</v>
      </c>
      <c r="L76" s="20" t="n">
        <v>0.24924167</v>
      </c>
      <c r="M76" s="18" t="n">
        <v>41.68427243</v>
      </c>
      <c r="N76" s="20" t="n">
        <v>2.75419091</v>
      </c>
      <c r="O76" s="18" t="n">
        <v>0</v>
      </c>
      <c r="P76" s="20" t="n">
        <v>0</v>
      </c>
      <c r="Q76" s="18" t="n">
        <v>0.68620636</v>
      </c>
      <c r="R76" s="20" t="n">
        <v>0.38264527</v>
      </c>
    </row>
    <row r="77" spans="1:18">
      <c r="A77" s="15" t="s">
        <v>419</v>
      </c>
      <c r="B77" s="17" t="n">
        <v>3154</v>
      </c>
      <c r="C77" s="18">
        <f>(2790.0/B77*100)</f>
        <v/>
      </c>
      <c r="D77" s="19" t="n">
        <v>364</v>
      </c>
      <c r="E77" s="18" t="n">
        <v>59.59357935</v>
      </c>
      <c r="F77" s="20" t="n">
        <v>2.18277932</v>
      </c>
      <c r="G77" s="18" t="n">
        <v>37.64173844</v>
      </c>
      <c r="H77" s="20" t="n">
        <v>2.37960664</v>
      </c>
      <c r="I77" s="18" t="s">
        <v>349</v>
      </c>
      <c r="J77" s="20" t="s">
        <v>349</v>
      </c>
      <c r="K77" s="18" t="n">
        <v>0.36482172</v>
      </c>
      <c r="L77" s="20" t="n">
        <v>0.24758505</v>
      </c>
      <c r="M77" s="18" t="n">
        <v>0</v>
      </c>
      <c r="N77" s="20" t="n">
        <v>0</v>
      </c>
      <c r="O77" s="18" t="n">
        <v>0</v>
      </c>
      <c r="P77" s="20" t="n">
        <v>0</v>
      </c>
      <c r="Q77" s="18" t="n">
        <v>2.39986049</v>
      </c>
      <c r="R77" s="20" t="n">
        <v>1.03671223</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(4122.0/B81*100)</f>
        <v/>
      </c>
      <c r="D81" s="19" t="n">
        <v>576</v>
      </c>
      <c r="E81" s="18" t="n">
        <v>65.26312045</v>
      </c>
      <c r="F81" s="20" t="n">
        <v>2.54987705</v>
      </c>
      <c r="G81" s="18" t="n">
        <v>34.19335248</v>
      </c>
      <c r="H81" s="20" t="n">
        <v>2.51101985</v>
      </c>
      <c r="I81" s="18" t="s">
        <v>349</v>
      </c>
      <c r="J81" s="20" t="s">
        <v>349</v>
      </c>
      <c r="K81" s="18" t="n">
        <v>0.23609479</v>
      </c>
      <c r="L81" s="20" t="n">
        <v>0.23503033</v>
      </c>
      <c r="M81" s="18" t="n">
        <v>0</v>
      </c>
      <c r="N81" s="20" t="n">
        <v>0</v>
      </c>
      <c r="O81" s="18" t="n">
        <v>0</v>
      </c>
      <c r="P81" s="20" t="n">
        <v>0</v>
      </c>
      <c r="Q81" s="18" t="n">
        <v>0.30743228</v>
      </c>
      <c r="R81" s="20" t="n">
        <v>0.30462236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(6342.0/B7*100)</f>
        <v/>
      </c>
      <c r="D7" s="19" t="n">
        <v>821</v>
      </c>
      <c r="E7" s="18" t="n">
        <v>55.45103673</v>
      </c>
      <c r="F7" s="20" t="n">
        <v>2.17489396</v>
      </c>
      <c r="G7" s="18" t="n">
        <v>43.98563825</v>
      </c>
      <c r="H7" s="20" t="n">
        <v>2.17519856</v>
      </c>
      <c r="I7" s="18" t="s">
        <v>349</v>
      </c>
      <c r="J7" s="20" t="s">
        <v>349</v>
      </c>
      <c r="K7" s="18" t="n">
        <v>0.19334153</v>
      </c>
      <c r="L7" s="20" t="n">
        <v>0.18494536</v>
      </c>
      <c r="M7" s="18" t="n">
        <v>0</v>
      </c>
      <c r="N7" s="20" t="n">
        <v>0</v>
      </c>
      <c r="O7" s="18" t="n">
        <v>0</v>
      </c>
      <c r="P7" s="20" t="n">
        <v>0</v>
      </c>
      <c r="Q7" s="18" t="n">
        <v>0.36998349</v>
      </c>
      <c r="R7" s="20" t="n">
        <v>0.25914165</v>
      </c>
    </row>
    <row r="8" spans="1:18">
      <c r="A8" s="15" t="s">
        <v>350</v>
      </c>
      <c r="B8" s="17" t="n">
        <v>3443</v>
      </c>
      <c r="C8" s="18">
        <f>(3044.0/B8*100)</f>
        <v/>
      </c>
      <c r="D8" s="19" t="n">
        <v>399</v>
      </c>
      <c r="E8" s="18" t="n">
        <v>64.37096568</v>
      </c>
      <c r="F8" s="20" t="n">
        <v>2.47360884</v>
      </c>
      <c r="G8" s="18" t="n">
        <v>35.40861033</v>
      </c>
      <c r="H8" s="20" t="n">
        <v>2.46292639</v>
      </c>
      <c r="I8" s="18" t="s">
        <v>349</v>
      </c>
      <c r="J8" s="20" t="s">
        <v>349</v>
      </c>
      <c r="K8" s="18" t="n">
        <v>0</v>
      </c>
      <c r="L8" s="20" t="n">
        <v>0</v>
      </c>
      <c r="M8" s="18" t="n">
        <v>0</v>
      </c>
      <c r="N8" s="20" t="n">
        <v>0</v>
      </c>
      <c r="O8" s="18" t="n">
        <v>0</v>
      </c>
      <c r="P8" s="20" t="n">
        <v>0</v>
      </c>
      <c r="Q8" s="18" t="n">
        <v>0.220424</v>
      </c>
      <c r="R8" s="20" t="n">
        <v>0.16050393</v>
      </c>
    </row>
    <row r="9" spans="1:18">
      <c r="A9" s="15" t="s">
        <v>351</v>
      </c>
      <c r="B9" s="17" t="n">
        <v>4752</v>
      </c>
      <c r="C9" s="18">
        <f>(4201.0/B9*100)</f>
        <v/>
      </c>
      <c r="D9" s="19" t="n">
        <v>551</v>
      </c>
      <c r="E9" s="18" t="n">
        <v>52.99906106</v>
      </c>
      <c r="F9" s="20" t="n">
        <v>2.33113482</v>
      </c>
      <c r="G9" s="18" t="n">
        <v>46.25409458</v>
      </c>
      <c r="H9" s="20" t="n">
        <v>2.3760302</v>
      </c>
      <c r="I9" s="18" t="s">
        <v>349</v>
      </c>
      <c r="J9" s="20" t="s">
        <v>349</v>
      </c>
      <c r="K9" s="18" t="n">
        <v>0</v>
      </c>
      <c r="L9" s="20" t="n">
        <v>0</v>
      </c>
      <c r="M9" s="18" t="n">
        <v>0</v>
      </c>
      <c r="N9" s="20" t="n">
        <v>0</v>
      </c>
      <c r="O9" s="18" t="n">
        <v>0</v>
      </c>
      <c r="P9" s="20" t="n">
        <v>0</v>
      </c>
      <c r="Q9" s="18" t="n">
        <v>0.74684436</v>
      </c>
      <c r="R9" s="20" t="n">
        <v>0.41009487</v>
      </c>
    </row>
    <row r="10" spans="1:18">
      <c r="A10" s="15" t="s">
        <v>352</v>
      </c>
      <c r="B10" s="17" t="n">
        <v>10022</v>
      </c>
      <c r="C10" s="18">
        <f>(8800.0/B10*100)</f>
        <v/>
      </c>
      <c r="D10" s="19" t="n">
        <v>1222</v>
      </c>
      <c r="E10" s="18" t="n">
        <v>55.06577331</v>
      </c>
      <c r="F10" s="20" t="n">
        <v>1.7735847</v>
      </c>
      <c r="G10" s="18" t="n">
        <v>44.76433953</v>
      </c>
      <c r="H10" s="20" t="n">
        <v>1.75087082</v>
      </c>
      <c r="I10" s="18" t="s">
        <v>349</v>
      </c>
      <c r="J10" s="20" t="s">
        <v>349</v>
      </c>
      <c r="K10" s="18" t="n">
        <v>0.00653155</v>
      </c>
      <c r="L10" s="20" t="n">
        <v>0.00633223</v>
      </c>
      <c r="M10" s="18" t="n">
        <v>0</v>
      </c>
      <c r="N10" s="20" t="n">
        <v>0</v>
      </c>
      <c r="O10" s="18" t="n">
        <v>0</v>
      </c>
      <c r="P10" s="20" t="n">
        <v>0</v>
      </c>
      <c r="Q10" s="18" t="n">
        <v>0.16335561</v>
      </c>
      <c r="R10" s="20" t="n">
        <v>0.16734096</v>
      </c>
    </row>
    <row r="11" spans="1:18">
      <c r="A11" s="15" t="s">
        <v>353</v>
      </c>
      <c r="B11" s="17" t="n">
        <v>3500</v>
      </c>
      <c r="C11" s="18">
        <f>(3082.0/B11*100)</f>
        <v/>
      </c>
      <c r="D11" s="19" t="n">
        <v>418</v>
      </c>
      <c r="E11" s="18" t="n">
        <v>70.0536537</v>
      </c>
      <c r="F11" s="20" t="n">
        <v>2.71476425</v>
      </c>
      <c r="G11" s="18" t="n">
        <v>29.59251973</v>
      </c>
      <c r="H11" s="20" t="n">
        <v>2.70024409</v>
      </c>
      <c r="I11" s="18" t="s">
        <v>349</v>
      </c>
      <c r="J11" s="20" t="s">
        <v>349</v>
      </c>
      <c r="K11" s="18" t="n">
        <v>0</v>
      </c>
      <c r="L11" s="20" t="n">
        <v>0</v>
      </c>
      <c r="M11" s="18" t="n">
        <v>0</v>
      </c>
      <c r="N11" s="20" t="n">
        <v>0</v>
      </c>
      <c r="O11" s="18" t="n">
        <v>0</v>
      </c>
      <c r="P11" s="20" t="n">
        <v>0</v>
      </c>
      <c r="Q11" s="18" t="n">
        <v>0.35382657</v>
      </c>
      <c r="R11" s="20" t="n">
        <v>0.35245607</v>
      </c>
    </row>
    <row r="12" spans="1:18">
      <c r="A12" s="15" t="s">
        <v>354</v>
      </c>
      <c r="B12" s="17" t="n">
        <v>3422</v>
      </c>
      <c r="C12" s="18">
        <f>(2986.0/B12*100)</f>
        <v/>
      </c>
      <c r="D12" s="19" t="n">
        <v>436</v>
      </c>
      <c r="E12" s="18" t="n">
        <v>56.43834169</v>
      </c>
      <c r="F12" s="20" t="n">
        <v>2.73202326</v>
      </c>
      <c r="G12" s="18" t="n">
        <v>43.56165831</v>
      </c>
      <c r="H12" s="20" t="n">
        <v>2.73202326</v>
      </c>
      <c r="I12" s="18" t="s">
        <v>349</v>
      </c>
      <c r="J12" s="20" t="s">
        <v>349</v>
      </c>
      <c r="K12" s="18" t="n">
        <v>0</v>
      </c>
      <c r="L12" s="20" t="n">
        <v>0</v>
      </c>
      <c r="M12" s="18" t="n">
        <v>0</v>
      </c>
      <c r="N12" s="20" t="n">
        <v>0</v>
      </c>
      <c r="O12" s="18" t="n">
        <v>0</v>
      </c>
      <c r="P12" s="20" t="n">
        <v>0</v>
      </c>
      <c r="Q12" s="18" t="n">
        <v>0</v>
      </c>
      <c r="R12" s="20" t="n">
        <v>0</v>
      </c>
    </row>
    <row r="13" spans="1:18">
      <c r="A13" s="15" t="s">
        <v>355</v>
      </c>
      <c r="B13" s="17" t="n">
        <v>3602</v>
      </c>
      <c r="C13" s="18">
        <f>(3174.0/B13*100)</f>
        <v/>
      </c>
      <c r="D13" s="19" t="n">
        <v>428</v>
      </c>
      <c r="E13" s="18" t="n">
        <v>55.65174697</v>
      </c>
      <c r="F13" s="20" t="n">
        <v>2.85821168</v>
      </c>
      <c r="G13" s="18" t="n">
        <v>43.27635526</v>
      </c>
      <c r="H13" s="20" t="n">
        <v>3.00729795</v>
      </c>
      <c r="I13" s="18" t="s">
        <v>349</v>
      </c>
      <c r="J13" s="20" t="s">
        <v>349</v>
      </c>
      <c r="K13" s="18" t="n">
        <v>0.16870847</v>
      </c>
      <c r="L13" s="20" t="n">
        <v>0.17294738</v>
      </c>
      <c r="M13" s="18" t="n">
        <v>0</v>
      </c>
      <c r="N13" s="20" t="n">
        <v>0</v>
      </c>
      <c r="O13" s="18" t="n">
        <v>0</v>
      </c>
      <c r="P13" s="20" t="n">
        <v>0</v>
      </c>
      <c r="Q13" s="18" t="n">
        <v>0.90318929</v>
      </c>
      <c r="R13" s="20" t="n">
        <v>0.5639091899999999</v>
      </c>
    </row>
    <row r="14" spans="1:18">
      <c r="A14" s="15" t="s">
        <v>356</v>
      </c>
      <c r="B14" s="17" t="n">
        <v>2788</v>
      </c>
      <c r="C14" s="18">
        <f>(2431.0/B14*100)</f>
        <v/>
      </c>
      <c r="D14" s="19" t="n">
        <v>357</v>
      </c>
      <c r="E14" s="18" t="n">
        <v>53.59835773</v>
      </c>
      <c r="F14" s="20" t="n">
        <v>2.70916405</v>
      </c>
      <c r="G14" s="18" t="n">
        <v>46.40164227</v>
      </c>
      <c r="H14" s="20" t="n">
        <v>2.70916405</v>
      </c>
      <c r="I14" s="18" t="s">
        <v>349</v>
      </c>
      <c r="J14" s="20" t="s">
        <v>349</v>
      </c>
      <c r="K14" s="18" t="n">
        <v>0</v>
      </c>
      <c r="L14" s="20" t="n">
        <v>0</v>
      </c>
      <c r="M14" s="18" t="n">
        <v>0</v>
      </c>
      <c r="N14" s="20" t="n">
        <v>0</v>
      </c>
      <c r="O14" s="18" t="n">
        <v>0</v>
      </c>
      <c r="P14" s="20" t="n">
        <v>0</v>
      </c>
      <c r="Q14" s="18" t="n">
        <v>0</v>
      </c>
      <c r="R14" s="20" t="n">
        <v>0</v>
      </c>
    </row>
    <row r="15" spans="1:18">
      <c r="A15" s="15" t="s">
        <v>357</v>
      </c>
      <c r="B15" s="17" t="n">
        <v>2863</v>
      </c>
      <c r="C15" s="18">
        <f>(2507.0/B15*100)</f>
        <v/>
      </c>
      <c r="D15" s="19" t="n">
        <v>356</v>
      </c>
      <c r="E15" s="18" t="n">
        <v>54.61168885</v>
      </c>
      <c r="F15" s="20" t="n">
        <v>2.89816019</v>
      </c>
      <c r="G15" s="18" t="n">
        <v>45.11252791</v>
      </c>
      <c r="H15" s="20" t="n">
        <v>2.87412733</v>
      </c>
      <c r="I15" s="18" t="s">
        <v>349</v>
      </c>
      <c r="J15" s="20" t="s">
        <v>349</v>
      </c>
      <c r="K15" s="18" t="n">
        <v>0.27578324</v>
      </c>
      <c r="L15" s="20" t="n">
        <v>0.27117198</v>
      </c>
      <c r="M15" s="18" t="n">
        <v>0</v>
      </c>
      <c r="N15" s="20" t="n">
        <v>0</v>
      </c>
      <c r="O15" s="18" t="n">
        <v>0</v>
      </c>
      <c r="P15" s="20" t="n">
        <v>0</v>
      </c>
      <c r="Q15" s="18" t="n">
        <v>0</v>
      </c>
      <c r="R15" s="20" t="n">
        <v>0</v>
      </c>
    </row>
    <row r="16" spans="1:18">
      <c r="A16" s="15" t="s">
        <v>358</v>
      </c>
      <c r="B16" s="17" t="n">
        <v>3111</v>
      </c>
      <c r="C16" s="18">
        <f>(2723.0/B16*100)</f>
        <v/>
      </c>
      <c r="D16" s="19" t="n">
        <v>388</v>
      </c>
      <c r="E16" s="18" t="n">
        <v>61.41959017</v>
      </c>
      <c r="F16" s="20" t="n">
        <v>2.29235159</v>
      </c>
      <c r="G16" s="18" t="n">
        <v>38.07756723</v>
      </c>
      <c r="H16" s="20" t="n">
        <v>2.22662281</v>
      </c>
      <c r="I16" s="18" t="s">
        <v>349</v>
      </c>
      <c r="J16" s="20" t="s">
        <v>349</v>
      </c>
      <c r="K16" s="18" t="n">
        <v>0.25632567</v>
      </c>
      <c r="L16" s="20" t="n">
        <v>0.30387097</v>
      </c>
      <c r="M16" s="18" t="n">
        <v>0</v>
      </c>
      <c r="N16" s="20" t="n">
        <v>0</v>
      </c>
      <c r="O16" s="18" t="n">
        <v>0</v>
      </c>
      <c r="P16" s="20" t="n">
        <v>0</v>
      </c>
      <c r="Q16" s="18" t="n">
        <v>0.24651693</v>
      </c>
      <c r="R16" s="20" t="n">
        <v>0.2459068</v>
      </c>
    </row>
    <row r="17" spans="1:18">
      <c r="A17" s="15" t="s">
        <v>359</v>
      </c>
      <c r="B17" s="17" t="n">
        <v>3197</v>
      </c>
      <c r="C17" s="18">
        <f>(2820.0/B17*100)</f>
        <v/>
      </c>
      <c r="D17" s="19" t="n">
        <v>377</v>
      </c>
      <c r="E17" s="18" t="n">
        <v>53.64882599</v>
      </c>
      <c r="F17" s="20" t="n">
        <v>2.38570114</v>
      </c>
      <c r="G17" s="18" t="n">
        <v>46.06769897</v>
      </c>
      <c r="H17" s="20" t="n">
        <v>2.35102495</v>
      </c>
      <c r="I17" s="18" t="s">
        <v>349</v>
      </c>
      <c r="J17" s="20" t="s">
        <v>349</v>
      </c>
      <c r="K17" s="18" t="n">
        <v>0</v>
      </c>
      <c r="L17" s="20" t="n">
        <v>0</v>
      </c>
      <c r="M17" s="18" t="n">
        <v>0</v>
      </c>
      <c r="N17" s="20" t="n">
        <v>0</v>
      </c>
      <c r="O17" s="18" t="n">
        <v>0</v>
      </c>
      <c r="P17" s="20" t="n">
        <v>0</v>
      </c>
      <c r="Q17" s="18" t="n">
        <v>0.28347504</v>
      </c>
      <c r="R17" s="20" t="n">
        <v>0.27762573</v>
      </c>
    </row>
    <row r="18" spans="1:18">
      <c r="A18" s="15" t="s">
        <v>360</v>
      </c>
      <c r="B18" s="17" t="n">
        <v>2706</v>
      </c>
      <c r="C18" s="18">
        <f>(2339.0/B18*100)</f>
        <v/>
      </c>
      <c r="D18" s="19" t="n">
        <v>367</v>
      </c>
      <c r="E18" s="18" t="n">
        <v>70.75262262</v>
      </c>
      <c r="F18" s="20" t="n">
        <v>2.98129533</v>
      </c>
      <c r="G18" s="18" t="n">
        <v>28.1290824</v>
      </c>
      <c r="H18" s="20" t="n">
        <v>2.87626489</v>
      </c>
      <c r="I18" s="18" t="s">
        <v>349</v>
      </c>
      <c r="J18" s="20" t="s">
        <v>349</v>
      </c>
      <c r="K18" s="18" t="n">
        <v>0.70183831</v>
      </c>
      <c r="L18" s="20" t="n">
        <v>0.69210836</v>
      </c>
      <c r="M18" s="18" t="n">
        <v>0</v>
      </c>
      <c r="N18" s="20" t="n">
        <v>0</v>
      </c>
      <c r="O18" s="18" t="n">
        <v>0</v>
      </c>
      <c r="P18" s="20" t="n">
        <v>0</v>
      </c>
      <c r="Q18" s="18" t="n">
        <v>0.41645667</v>
      </c>
      <c r="R18" s="20" t="n">
        <v>0.29963914</v>
      </c>
    </row>
    <row r="19" spans="1:18">
      <c r="A19" s="15" t="s">
        <v>361</v>
      </c>
      <c r="B19" s="17" t="n">
        <v>2850</v>
      </c>
      <c r="C19" s="18">
        <f>(2492.0/B19*100)</f>
        <v/>
      </c>
      <c r="D19" s="19" t="n">
        <v>358</v>
      </c>
      <c r="E19" s="18" t="n">
        <v>65.54305472</v>
      </c>
      <c r="F19" s="20" t="n">
        <v>2.45383444</v>
      </c>
      <c r="G19" s="18" t="n">
        <v>34.45694528</v>
      </c>
      <c r="H19" s="20" t="n">
        <v>2.45383444</v>
      </c>
      <c r="I19" s="18" t="s">
        <v>349</v>
      </c>
      <c r="J19" s="20" t="s">
        <v>349</v>
      </c>
      <c r="K19" s="18" t="n">
        <v>0</v>
      </c>
      <c r="L19" s="20" t="n">
        <v>0</v>
      </c>
      <c r="M19" s="18" t="n">
        <v>0</v>
      </c>
      <c r="N19" s="20" t="n">
        <v>0</v>
      </c>
      <c r="O19" s="18" t="n">
        <v>0</v>
      </c>
      <c r="P19" s="20" t="n">
        <v>0</v>
      </c>
      <c r="Q19" s="18" t="n">
        <v>0</v>
      </c>
      <c r="R19" s="20" t="n">
        <v>0</v>
      </c>
    </row>
    <row r="20" spans="1:18">
      <c r="A20" s="15" t="s">
        <v>362</v>
      </c>
      <c r="B20" s="17" t="n">
        <v>1741</v>
      </c>
      <c r="C20" s="18">
        <f>(1526.0/B20*100)</f>
        <v/>
      </c>
      <c r="D20" s="19" t="n">
        <v>215</v>
      </c>
      <c r="E20" s="18" t="n">
        <v>57.30864541</v>
      </c>
      <c r="F20" s="20" t="n">
        <v>3.21464426</v>
      </c>
      <c r="G20" s="18" t="n">
        <v>42.69135459</v>
      </c>
      <c r="H20" s="20" t="n">
        <v>3.21464426</v>
      </c>
      <c r="I20" s="18" t="s">
        <v>349</v>
      </c>
      <c r="J20" s="20" t="s">
        <v>349</v>
      </c>
      <c r="K20" s="18" t="n">
        <v>0</v>
      </c>
      <c r="L20" s="20" t="n">
        <v>0</v>
      </c>
      <c r="M20" s="18" t="n">
        <v>0</v>
      </c>
      <c r="N20" s="20" t="n">
        <v>0</v>
      </c>
      <c r="O20" s="18" t="n">
        <v>0</v>
      </c>
      <c r="P20" s="20" t="n">
        <v>0</v>
      </c>
      <c r="Q20" s="18" t="n">
        <v>0</v>
      </c>
      <c r="R20" s="20" t="n">
        <v>0</v>
      </c>
    </row>
    <row r="21" spans="1:18">
      <c r="A21" s="15" t="s">
        <v>363</v>
      </c>
      <c r="B21" s="17" t="n">
        <v>2833</v>
      </c>
      <c r="C21" s="18">
        <f>(2345.0/B21*100)</f>
        <v/>
      </c>
      <c r="D21" s="19" t="n">
        <v>488</v>
      </c>
      <c r="E21" s="18" t="n">
        <v>57.9289852</v>
      </c>
      <c r="F21" s="20" t="n">
        <v>2.17015462</v>
      </c>
      <c r="G21" s="18" t="n">
        <v>41.92132859</v>
      </c>
      <c r="H21" s="20" t="n">
        <v>2.18941172</v>
      </c>
      <c r="I21" s="18" t="s">
        <v>349</v>
      </c>
      <c r="J21" s="20" t="s">
        <v>349</v>
      </c>
      <c r="K21" s="18" t="n">
        <v>0</v>
      </c>
      <c r="L21" s="20" t="n">
        <v>0</v>
      </c>
      <c r="M21" s="18" t="n">
        <v>0</v>
      </c>
      <c r="N21" s="20" t="n">
        <v>0</v>
      </c>
      <c r="O21" s="18" t="n">
        <v>0</v>
      </c>
      <c r="P21" s="20" t="n">
        <v>0</v>
      </c>
      <c r="Q21" s="18" t="n">
        <v>0.14968621</v>
      </c>
      <c r="R21" s="20" t="n">
        <v>0.14886979</v>
      </c>
    </row>
    <row r="22" spans="1:18">
      <c r="A22" s="15" t="s">
        <v>364</v>
      </c>
      <c r="B22" s="17" t="n">
        <v>3667</v>
      </c>
      <c r="C22" s="18">
        <f>(3227.0/B22*100)</f>
        <v/>
      </c>
      <c r="D22" s="19" t="n">
        <v>440</v>
      </c>
      <c r="E22" s="18" t="n">
        <v>62.71007237</v>
      </c>
      <c r="F22" s="20" t="n">
        <v>2.51008018</v>
      </c>
      <c r="G22" s="18" t="n">
        <v>36.84876071</v>
      </c>
      <c r="H22" s="20" t="n">
        <v>2.4925552</v>
      </c>
      <c r="I22" s="18" t="s">
        <v>349</v>
      </c>
      <c r="J22" s="20" t="s">
        <v>349</v>
      </c>
      <c r="K22" s="18" t="n">
        <v>0</v>
      </c>
      <c r="L22" s="20" t="n">
        <v>0</v>
      </c>
      <c r="M22" s="18" t="n">
        <v>0</v>
      </c>
      <c r="N22" s="20" t="n">
        <v>0</v>
      </c>
      <c r="O22" s="18" t="n">
        <v>0</v>
      </c>
      <c r="P22" s="20" t="n">
        <v>0</v>
      </c>
      <c r="Q22" s="18" t="n">
        <v>0.44116692</v>
      </c>
      <c r="R22" s="20" t="n">
        <v>0.31429871</v>
      </c>
    </row>
    <row r="23" spans="1:18">
      <c r="A23" s="15" t="s">
        <v>365</v>
      </c>
      <c r="B23" s="17" t="n">
        <v>5792</v>
      </c>
      <c r="C23" s="18">
        <f>(5068.0/B23*100)</f>
        <v/>
      </c>
      <c r="D23" s="19" t="n">
        <v>724</v>
      </c>
      <c r="E23" s="18" t="n">
        <v>64.73165744000001</v>
      </c>
      <c r="F23" s="20" t="n">
        <v>2.77298005</v>
      </c>
      <c r="G23" s="18" t="n">
        <v>35.26834256</v>
      </c>
      <c r="H23" s="20" t="n">
        <v>2.77298005</v>
      </c>
      <c r="I23" s="18" t="s">
        <v>349</v>
      </c>
      <c r="J23" s="20" t="s">
        <v>349</v>
      </c>
      <c r="K23" s="18" t="n">
        <v>0</v>
      </c>
      <c r="L23" s="20" t="n">
        <v>0</v>
      </c>
      <c r="M23" s="18" t="n">
        <v>0</v>
      </c>
      <c r="N23" s="20" t="n">
        <v>0</v>
      </c>
      <c r="O23" s="18" t="n">
        <v>0</v>
      </c>
      <c r="P23" s="20" t="n">
        <v>0</v>
      </c>
      <c r="Q23" s="18" t="n">
        <v>0</v>
      </c>
      <c r="R23" s="20" t="n">
        <v>0</v>
      </c>
    </row>
    <row r="24" spans="1:18">
      <c r="A24" s="15" t="s">
        <v>366</v>
      </c>
      <c r="B24" s="17" t="n">
        <v>3309</v>
      </c>
      <c r="C24" s="18">
        <f>(2900.0/B24*100)</f>
        <v/>
      </c>
      <c r="D24" s="19" t="n">
        <v>409</v>
      </c>
      <c r="E24" s="18" t="n">
        <v>50.85950378</v>
      </c>
      <c r="F24" s="20" t="n">
        <v>2.55052799</v>
      </c>
      <c r="G24" s="18" t="n">
        <v>48.9201582</v>
      </c>
      <c r="H24" s="20" t="n">
        <v>2.55672072</v>
      </c>
      <c r="I24" s="18" t="s">
        <v>349</v>
      </c>
      <c r="J24" s="20" t="s">
        <v>349</v>
      </c>
      <c r="K24" s="18" t="n">
        <v>0</v>
      </c>
      <c r="L24" s="20" t="n">
        <v>0</v>
      </c>
      <c r="M24" s="18" t="n">
        <v>0</v>
      </c>
      <c r="N24" s="20" t="n">
        <v>0</v>
      </c>
      <c r="O24" s="18" t="n">
        <v>0</v>
      </c>
      <c r="P24" s="20" t="n">
        <v>0</v>
      </c>
      <c r="Q24" s="18" t="n">
        <v>0.22033803</v>
      </c>
      <c r="R24" s="20" t="n">
        <v>0.22017163</v>
      </c>
    </row>
    <row r="25" spans="1:18">
      <c r="A25" s="15" t="s">
        <v>367</v>
      </c>
      <c r="B25" s="17" t="n">
        <v>2669</v>
      </c>
      <c r="C25" s="18">
        <f>(2342.0/B25*100)</f>
        <v/>
      </c>
      <c r="D25" s="19" t="n">
        <v>327</v>
      </c>
      <c r="E25" s="18" t="n">
        <v>53.3086456</v>
      </c>
      <c r="F25" s="20" t="n">
        <v>3.13455767</v>
      </c>
      <c r="G25" s="18" t="n">
        <v>46.3884638</v>
      </c>
      <c r="H25" s="20" t="n">
        <v>3.17715997</v>
      </c>
      <c r="I25" s="18" t="s">
        <v>349</v>
      </c>
      <c r="J25" s="20" t="s">
        <v>349</v>
      </c>
      <c r="K25" s="18" t="n">
        <v>0</v>
      </c>
      <c r="L25" s="20" t="n">
        <v>0</v>
      </c>
      <c r="M25" s="18" t="n">
        <v>0</v>
      </c>
      <c r="N25" s="20" t="n">
        <v>0</v>
      </c>
      <c r="O25" s="18" t="n">
        <v>0</v>
      </c>
      <c r="P25" s="20" t="n">
        <v>0</v>
      </c>
      <c r="Q25" s="18" t="n">
        <v>0.3028906</v>
      </c>
      <c r="R25" s="20" t="n">
        <v>0.30522368</v>
      </c>
    </row>
    <row r="26" spans="1:18">
      <c r="A26" s="15" t="s">
        <v>368</v>
      </c>
      <c r="B26" s="17" t="n">
        <v>2419</v>
      </c>
      <c r="C26" s="18">
        <f>(2121.0/B26*100)</f>
        <v/>
      </c>
      <c r="D26" s="19" t="n">
        <v>298</v>
      </c>
      <c r="E26" s="18" t="n">
        <v>61.224584</v>
      </c>
      <c r="F26" s="20" t="n">
        <v>3.00051527</v>
      </c>
      <c r="G26" s="18" t="n">
        <v>38.775416</v>
      </c>
      <c r="H26" s="20" t="n">
        <v>3.00051527</v>
      </c>
      <c r="I26" s="18" t="s">
        <v>349</v>
      </c>
      <c r="J26" s="20" t="s">
        <v>349</v>
      </c>
      <c r="K26" s="18" t="n">
        <v>0</v>
      </c>
      <c r="L26" s="20" t="n">
        <v>0</v>
      </c>
      <c r="M26" s="18" t="n">
        <v>0</v>
      </c>
      <c r="N26" s="20" t="n">
        <v>0</v>
      </c>
      <c r="O26" s="18" t="n">
        <v>0</v>
      </c>
      <c r="P26" s="20" t="n">
        <v>0</v>
      </c>
      <c r="Q26" s="18" t="n">
        <v>0</v>
      </c>
      <c r="R26" s="20" t="n">
        <v>0</v>
      </c>
    </row>
    <row r="27" spans="1:18">
      <c r="A27" s="15" t="s">
        <v>369</v>
      </c>
      <c r="B27" s="17" t="n">
        <v>2683</v>
      </c>
      <c r="C27" s="18">
        <f>(2369.0/B27*100)</f>
        <v/>
      </c>
      <c r="D27" s="19" t="n">
        <v>314</v>
      </c>
      <c r="E27" s="18" t="n">
        <v>55.68055964</v>
      </c>
      <c r="F27" s="20" t="n">
        <v>2.90221955</v>
      </c>
      <c r="G27" s="18" t="n">
        <v>44.31944036</v>
      </c>
      <c r="H27" s="20" t="n">
        <v>2.90221955</v>
      </c>
      <c r="I27" s="18" t="s">
        <v>349</v>
      </c>
      <c r="J27" s="20" t="s">
        <v>349</v>
      </c>
      <c r="K27" s="18" t="n">
        <v>0</v>
      </c>
      <c r="L27" s="20" t="n">
        <v>0</v>
      </c>
      <c r="M27" s="18" t="n">
        <v>0</v>
      </c>
      <c r="N27" s="20" t="n">
        <v>0</v>
      </c>
      <c r="O27" s="18" t="n">
        <v>0</v>
      </c>
      <c r="P27" s="20" t="n">
        <v>0</v>
      </c>
      <c r="Q27" s="18" t="n">
        <v>0</v>
      </c>
      <c r="R27" s="20" t="n">
        <v>0</v>
      </c>
    </row>
    <row r="28" spans="1:18">
      <c r="A28" s="15" t="s">
        <v>370</v>
      </c>
      <c r="B28" s="17" t="n">
        <v>3803</v>
      </c>
      <c r="C28" s="18">
        <f>(3319.0/B28*100)</f>
        <v/>
      </c>
      <c r="D28" s="19" t="n">
        <v>484</v>
      </c>
      <c r="E28" s="18" t="n">
        <v>75.12476986999999</v>
      </c>
      <c r="F28" s="20" t="n">
        <v>2.1402965</v>
      </c>
      <c r="G28" s="18" t="n">
        <v>24.34431541</v>
      </c>
      <c r="H28" s="20" t="n">
        <v>2.30629057</v>
      </c>
      <c r="I28" s="18" t="s">
        <v>349</v>
      </c>
      <c r="J28" s="20" t="s">
        <v>349</v>
      </c>
      <c r="K28" s="18" t="n">
        <v>0</v>
      </c>
      <c r="L28" s="20" t="n">
        <v>0</v>
      </c>
      <c r="M28" s="18" t="n">
        <v>0</v>
      </c>
      <c r="N28" s="20" t="n">
        <v>0</v>
      </c>
      <c r="O28" s="18" t="n">
        <v>0</v>
      </c>
      <c r="P28" s="20" t="n">
        <v>0</v>
      </c>
      <c r="Q28" s="18" t="n">
        <v>0.53091472</v>
      </c>
      <c r="R28" s="20" t="n">
        <v>0.50609162</v>
      </c>
    </row>
    <row r="29" spans="1:18">
      <c r="A29" s="15" t="s">
        <v>371</v>
      </c>
      <c r="B29" s="17" t="n">
        <v>2700</v>
      </c>
      <c r="C29" s="18">
        <f>(2368.0/B29*100)</f>
        <v/>
      </c>
      <c r="D29" s="19" t="n">
        <v>332</v>
      </c>
      <c r="E29" s="18" t="n">
        <v>57.2765894</v>
      </c>
      <c r="F29" s="20" t="n">
        <v>2.6486375</v>
      </c>
      <c r="G29" s="18" t="n">
        <v>42.7234106</v>
      </c>
      <c r="H29" s="20" t="n">
        <v>2.6486375</v>
      </c>
      <c r="I29" s="18" t="s">
        <v>349</v>
      </c>
      <c r="J29" s="20" t="s">
        <v>349</v>
      </c>
      <c r="K29" s="18" t="n">
        <v>0</v>
      </c>
      <c r="L29" s="20" t="n">
        <v>0</v>
      </c>
      <c r="M29" s="18" t="n">
        <v>0</v>
      </c>
      <c r="N29" s="20" t="n">
        <v>0</v>
      </c>
      <c r="O29" s="18" t="n">
        <v>0</v>
      </c>
      <c r="P29" s="20" t="n">
        <v>0</v>
      </c>
      <c r="Q29" s="18" t="n">
        <v>0</v>
      </c>
      <c r="R29" s="20" t="n">
        <v>0</v>
      </c>
    </row>
    <row r="30" spans="1:18">
      <c r="A30" s="15" t="s">
        <v>372</v>
      </c>
      <c r="B30" s="17" t="n">
        <v>2257</v>
      </c>
      <c r="C30" s="18">
        <f>(1980.0/B30*100)</f>
        <v/>
      </c>
      <c r="D30" s="19" t="n">
        <v>277</v>
      </c>
      <c r="E30" s="18" t="n">
        <v>60.33537359</v>
      </c>
      <c r="F30" s="20" t="n">
        <v>2.73512492</v>
      </c>
      <c r="G30" s="18" t="n">
        <v>39.31445676</v>
      </c>
      <c r="H30" s="20" t="n">
        <v>2.74403916</v>
      </c>
      <c r="I30" s="18" t="s">
        <v>349</v>
      </c>
      <c r="J30" s="20" t="s">
        <v>349</v>
      </c>
      <c r="K30" s="18" t="n">
        <v>0</v>
      </c>
      <c r="L30" s="20" t="n">
        <v>0</v>
      </c>
      <c r="M30" s="18" t="n">
        <v>0</v>
      </c>
      <c r="N30" s="20" t="n">
        <v>0</v>
      </c>
      <c r="O30" s="18" t="n">
        <v>0</v>
      </c>
      <c r="P30" s="20" t="n">
        <v>0</v>
      </c>
      <c r="Q30" s="18" t="n">
        <v>0.35016964</v>
      </c>
      <c r="R30" s="20" t="n">
        <v>0.30978558</v>
      </c>
    </row>
    <row r="31" spans="1:18">
      <c r="A31" s="15" t="s">
        <v>373</v>
      </c>
      <c r="B31" s="17" t="n">
        <v>2706</v>
      </c>
      <c r="C31" s="18">
        <f>(2365.0/B31*100)</f>
        <v/>
      </c>
      <c r="D31" s="19" t="n">
        <v>341</v>
      </c>
      <c r="E31" s="18" t="n">
        <v>55.65396427</v>
      </c>
      <c r="F31" s="20" t="n">
        <v>2.87759807</v>
      </c>
      <c r="G31" s="18" t="n">
        <v>44.04705368</v>
      </c>
      <c r="H31" s="20" t="n">
        <v>2.84219877</v>
      </c>
      <c r="I31" s="18" t="s">
        <v>349</v>
      </c>
      <c r="J31" s="20" t="s">
        <v>349</v>
      </c>
      <c r="K31" s="18" t="n">
        <v>0</v>
      </c>
      <c r="L31" s="20" t="n">
        <v>0</v>
      </c>
      <c r="M31" s="18" t="n">
        <v>0</v>
      </c>
      <c r="N31" s="20" t="n">
        <v>0</v>
      </c>
      <c r="O31" s="18" t="n">
        <v>0</v>
      </c>
      <c r="P31" s="20" t="n">
        <v>0</v>
      </c>
      <c r="Q31" s="18" t="n">
        <v>0.29898205</v>
      </c>
      <c r="R31" s="20" t="n">
        <v>0.31441047</v>
      </c>
    </row>
    <row r="32" spans="1:18">
      <c r="A32" s="15" t="s">
        <v>374</v>
      </c>
      <c r="B32" s="17" t="n">
        <v>2209</v>
      </c>
      <c r="C32" s="18">
        <f>(1857.0/B32*100)</f>
        <v/>
      </c>
      <c r="D32" s="19" t="n">
        <v>352</v>
      </c>
      <c r="E32" s="18" t="n">
        <v>64.72034746</v>
      </c>
      <c r="F32" s="20" t="n">
        <v>2.67958928</v>
      </c>
      <c r="G32" s="18" t="n">
        <v>35.27965254</v>
      </c>
      <c r="H32" s="20" t="n">
        <v>2.67958928</v>
      </c>
      <c r="I32" s="18" t="s">
        <v>349</v>
      </c>
      <c r="J32" s="20" t="s">
        <v>349</v>
      </c>
      <c r="K32" s="18" t="n">
        <v>0</v>
      </c>
      <c r="L32" s="20" t="n">
        <v>0</v>
      </c>
      <c r="M32" s="18" t="n">
        <v>0</v>
      </c>
      <c r="N32" s="20" t="n">
        <v>0</v>
      </c>
      <c r="O32" s="18" t="n">
        <v>0</v>
      </c>
      <c r="P32" s="20" t="n">
        <v>0</v>
      </c>
      <c r="Q32" s="18" t="n">
        <v>0</v>
      </c>
      <c r="R32" s="20" t="n">
        <v>0</v>
      </c>
    </row>
    <row r="33" spans="1:18">
      <c r="A33" s="15" t="s">
        <v>375</v>
      </c>
      <c r="B33" s="17" t="n">
        <v>3651</v>
      </c>
      <c r="C33" s="18">
        <f>(3190.0/B33*100)</f>
        <v/>
      </c>
      <c r="D33" s="19" t="n">
        <v>461</v>
      </c>
      <c r="E33" s="18" t="n">
        <v>66.23921386000001</v>
      </c>
      <c r="F33" s="20" t="n">
        <v>2.47482708</v>
      </c>
      <c r="G33" s="18" t="n">
        <v>33.76078614</v>
      </c>
      <c r="H33" s="20" t="n">
        <v>2.47482708</v>
      </c>
      <c r="I33" s="18" t="s">
        <v>349</v>
      </c>
      <c r="J33" s="20" t="s">
        <v>349</v>
      </c>
      <c r="K33" s="18" t="n">
        <v>0</v>
      </c>
      <c r="L33" s="20" t="n">
        <v>0</v>
      </c>
      <c r="M33" s="18" t="n">
        <v>0</v>
      </c>
      <c r="N33" s="20" t="n">
        <v>0</v>
      </c>
      <c r="O33" s="18" t="n">
        <v>0</v>
      </c>
      <c r="P33" s="20" t="n">
        <v>0</v>
      </c>
      <c r="Q33" s="18" t="n">
        <v>0</v>
      </c>
      <c r="R33" s="20" t="n">
        <v>0</v>
      </c>
    </row>
    <row r="34" spans="1:18">
      <c r="A34" s="15" t="s">
        <v>376</v>
      </c>
      <c r="B34" s="17" t="n">
        <v>3035</v>
      </c>
      <c r="C34" s="18">
        <f>(2686.0/B34*100)</f>
        <v/>
      </c>
      <c r="D34" s="19" t="n">
        <v>349</v>
      </c>
      <c r="E34" s="18" t="n">
        <v>61.70396454</v>
      </c>
      <c r="F34" s="20" t="n">
        <v>2.55480871</v>
      </c>
      <c r="G34" s="18" t="n">
        <v>38.29603546</v>
      </c>
      <c r="H34" s="20" t="n">
        <v>2.55480871</v>
      </c>
      <c r="I34" s="18" t="s">
        <v>349</v>
      </c>
      <c r="J34" s="20" t="s">
        <v>349</v>
      </c>
      <c r="K34" s="18" t="n">
        <v>0</v>
      </c>
      <c r="L34" s="20" t="n">
        <v>0</v>
      </c>
      <c r="M34" s="18" t="n">
        <v>0</v>
      </c>
      <c r="N34" s="20" t="n">
        <v>0</v>
      </c>
      <c r="O34" s="18" t="n">
        <v>0</v>
      </c>
      <c r="P34" s="20" t="n">
        <v>0</v>
      </c>
      <c r="Q34" s="18" t="n">
        <v>0</v>
      </c>
      <c r="R34" s="20" t="n">
        <v>0</v>
      </c>
    </row>
    <row r="35" spans="1:18">
      <c r="A35" s="15" t="s">
        <v>377</v>
      </c>
      <c r="B35" s="17" t="n">
        <v>2901</v>
      </c>
      <c r="C35" s="18">
        <f>(2566.0/B35*100)</f>
        <v/>
      </c>
      <c r="D35" s="19" t="n">
        <v>335</v>
      </c>
      <c r="E35" s="18" t="n">
        <v>56.2674541</v>
      </c>
      <c r="F35" s="20" t="n">
        <v>3.33449966</v>
      </c>
      <c r="G35" s="18" t="n">
        <v>43.7325459</v>
      </c>
      <c r="H35" s="20" t="n">
        <v>3.33449966</v>
      </c>
      <c r="I35" s="18" t="s">
        <v>349</v>
      </c>
      <c r="J35" s="20" t="s">
        <v>349</v>
      </c>
      <c r="K35" s="18" t="n">
        <v>0</v>
      </c>
      <c r="L35" s="20" t="n">
        <v>0</v>
      </c>
      <c r="M35" s="18" t="n">
        <v>0</v>
      </c>
      <c r="N35" s="20" t="n">
        <v>0</v>
      </c>
      <c r="O35" s="18" t="n">
        <v>0</v>
      </c>
      <c r="P35" s="20" t="n">
        <v>0</v>
      </c>
      <c r="Q35" s="18" t="n">
        <v>0</v>
      </c>
      <c r="R35" s="20" t="n">
        <v>0</v>
      </c>
    </row>
    <row r="36" spans="1:18">
      <c r="A36" s="15" t="s">
        <v>378</v>
      </c>
      <c r="B36" s="17" t="n">
        <v>3404</v>
      </c>
      <c r="C36" s="18">
        <f>(2996.0/B36*100)</f>
        <v/>
      </c>
      <c r="D36" s="19" t="n">
        <v>408</v>
      </c>
      <c r="E36" s="18" t="n">
        <v>63.69477974</v>
      </c>
      <c r="F36" s="20" t="n">
        <v>2.45827883</v>
      </c>
      <c r="G36" s="18" t="n">
        <v>35.30693944</v>
      </c>
      <c r="H36" s="20" t="n">
        <v>2.40198674</v>
      </c>
      <c r="I36" s="18" t="s">
        <v>349</v>
      </c>
      <c r="J36" s="20" t="s">
        <v>349</v>
      </c>
      <c r="K36" s="18" t="n">
        <v>0.40279239</v>
      </c>
      <c r="L36" s="20" t="n">
        <v>0.36385066</v>
      </c>
      <c r="M36" s="18" t="n">
        <v>0</v>
      </c>
      <c r="N36" s="20" t="n">
        <v>0</v>
      </c>
      <c r="O36" s="18" t="n">
        <v>0</v>
      </c>
      <c r="P36" s="20" t="n">
        <v>0</v>
      </c>
      <c r="Q36" s="18" t="n">
        <v>0.59548842</v>
      </c>
      <c r="R36" s="20" t="n">
        <v>0.3592117</v>
      </c>
    </row>
    <row r="37" spans="1:18">
      <c r="A37" s="15" t="s">
        <v>379</v>
      </c>
      <c r="B37" s="17" t="n">
        <v>2731</v>
      </c>
      <c r="C37" s="18">
        <f>(2383.0/B37*100)</f>
        <v/>
      </c>
      <c r="D37" s="19" t="n">
        <v>348</v>
      </c>
      <c r="E37" s="18" t="n">
        <v>54.86725636</v>
      </c>
      <c r="F37" s="20" t="n">
        <v>2.79343494</v>
      </c>
      <c r="G37" s="18" t="n">
        <v>44.59209063</v>
      </c>
      <c r="H37" s="20" t="n">
        <v>2.88505467</v>
      </c>
      <c r="I37" s="18" t="s">
        <v>349</v>
      </c>
      <c r="J37" s="20" t="s">
        <v>349</v>
      </c>
      <c r="K37" s="18" t="n">
        <v>0.27780962</v>
      </c>
      <c r="L37" s="20" t="n">
        <v>0.27491914</v>
      </c>
      <c r="M37" s="18" t="n">
        <v>0</v>
      </c>
      <c r="N37" s="20" t="n">
        <v>0</v>
      </c>
      <c r="O37" s="18" t="n">
        <v>0</v>
      </c>
      <c r="P37" s="20" t="n">
        <v>0</v>
      </c>
      <c r="Q37" s="18" t="n">
        <v>0.26284338</v>
      </c>
      <c r="R37" s="20" t="n">
        <v>0.26127299</v>
      </c>
    </row>
    <row r="38" spans="1:18">
      <c r="A38" s="15" t="s">
        <v>380</v>
      </c>
      <c r="B38" s="17" t="n">
        <v>2807</v>
      </c>
      <c r="C38" s="18">
        <f>(2325.0/B38*100)</f>
        <v/>
      </c>
      <c r="D38" s="19" t="n">
        <v>482</v>
      </c>
      <c r="E38" s="18" t="n">
        <v>50.16164071</v>
      </c>
      <c r="F38" s="20" t="n">
        <v>2.74323254</v>
      </c>
      <c r="G38" s="18" t="n">
        <v>49.66375014</v>
      </c>
      <c r="H38" s="20" t="n">
        <v>2.75223937</v>
      </c>
      <c r="I38" s="18" t="s">
        <v>349</v>
      </c>
      <c r="J38" s="20" t="s">
        <v>349</v>
      </c>
      <c r="K38" s="18" t="n">
        <v>0.17460915</v>
      </c>
      <c r="L38" s="20" t="n">
        <v>0.1739682</v>
      </c>
      <c r="M38" s="18" t="n">
        <v>0</v>
      </c>
      <c r="N38" s="20" t="n">
        <v>0</v>
      </c>
      <c r="O38" s="18" t="n">
        <v>0</v>
      </c>
      <c r="P38" s="20" t="n">
        <v>0</v>
      </c>
      <c r="Q38" s="18" t="n">
        <v>0</v>
      </c>
      <c r="R38" s="20" t="n">
        <v>0</v>
      </c>
    </row>
    <row r="39" spans="1:18">
      <c r="A39" s="15" t="s">
        <v>381</v>
      </c>
      <c r="B39" s="17" t="n">
        <v>2938</v>
      </c>
      <c r="C39" s="18">
        <f>(2577.0/B39*100)</f>
        <v/>
      </c>
      <c r="D39" s="19" t="n">
        <v>361</v>
      </c>
      <c r="E39" s="18" t="n">
        <v>76.00192158</v>
      </c>
      <c r="F39" s="20" t="n">
        <v>2.33467155</v>
      </c>
      <c r="G39" s="18" t="n">
        <v>22.36652121</v>
      </c>
      <c r="H39" s="20" t="n">
        <v>2.25965841</v>
      </c>
      <c r="I39" s="18" t="s">
        <v>349</v>
      </c>
      <c r="J39" s="20" t="s">
        <v>349</v>
      </c>
      <c r="K39" s="18" t="n">
        <v>0</v>
      </c>
      <c r="L39" s="20" t="n">
        <v>0</v>
      </c>
      <c r="M39" s="18" t="n">
        <v>0</v>
      </c>
      <c r="N39" s="20" t="n">
        <v>0</v>
      </c>
      <c r="O39" s="18" t="n">
        <v>0</v>
      </c>
      <c r="P39" s="20" t="n">
        <v>0</v>
      </c>
      <c r="Q39" s="18" t="n">
        <v>1.63155722</v>
      </c>
      <c r="R39" s="20" t="n">
        <v>1.21207626</v>
      </c>
    </row>
    <row r="40" spans="1:18">
      <c r="A40" s="15" t="s">
        <v>382</v>
      </c>
      <c r="B40" s="17" t="n">
        <v>6922</v>
      </c>
      <c r="C40" s="18">
        <f>(6085.0/B40*100)</f>
        <v/>
      </c>
      <c r="D40" s="19" t="n">
        <v>837</v>
      </c>
      <c r="E40" s="18" t="n">
        <v>63.23718104</v>
      </c>
      <c r="F40" s="20" t="n">
        <v>2.59277125</v>
      </c>
      <c r="G40" s="18" t="n">
        <v>36.30126122</v>
      </c>
      <c r="H40" s="20" t="n">
        <v>2.67534815</v>
      </c>
      <c r="I40" s="18" t="s">
        <v>349</v>
      </c>
      <c r="J40" s="20" t="s">
        <v>349</v>
      </c>
      <c r="K40" s="18" t="n">
        <v>0.44052402</v>
      </c>
      <c r="L40" s="20" t="n">
        <v>0.4591894</v>
      </c>
      <c r="M40" s="18" t="n">
        <v>0</v>
      </c>
      <c r="N40" s="20" t="n">
        <v>0</v>
      </c>
      <c r="O40" s="18" t="n">
        <v>0</v>
      </c>
      <c r="P40" s="20" t="n">
        <v>0</v>
      </c>
      <c r="Q40" s="18" t="n">
        <v>0.02103371</v>
      </c>
      <c r="R40" s="20" t="n">
        <v>0.0161414</v>
      </c>
    </row>
    <row r="41" spans="1:18">
      <c r="A41" s="15" t="s">
        <v>383</v>
      </c>
      <c r="B41" s="17" t="n">
        <v>2854</v>
      </c>
      <c r="C41" s="18">
        <f>(2506.0/B41*100)</f>
        <v/>
      </c>
      <c r="D41" s="19" t="n">
        <v>348</v>
      </c>
      <c r="E41" s="18" t="n">
        <v>60.71125253</v>
      </c>
      <c r="F41" s="20" t="n">
        <v>3.01304218</v>
      </c>
      <c r="G41" s="18" t="n">
        <v>39.04207214</v>
      </c>
      <c r="H41" s="20" t="n">
        <v>3.0440018</v>
      </c>
      <c r="I41" s="18" t="s">
        <v>349</v>
      </c>
      <c r="J41" s="20" t="s">
        <v>349</v>
      </c>
      <c r="K41" s="18" t="n">
        <v>0</v>
      </c>
      <c r="L41" s="20" t="n">
        <v>0</v>
      </c>
      <c r="M41" s="18" t="n">
        <v>0</v>
      </c>
      <c r="N41" s="20" t="n">
        <v>0</v>
      </c>
      <c r="O41" s="18" t="n">
        <v>0</v>
      </c>
      <c r="P41" s="20" t="n">
        <v>0</v>
      </c>
      <c r="Q41" s="18" t="n">
        <v>0.24667533</v>
      </c>
      <c r="R41" s="20" t="n">
        <v>0.24620062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(10690.0/B46*100)</f>
        <v/>
      </c>
      <c r="D46" s="19" t="n">
        <v>1383</v>
      </c>
      <c r="E46" s="18" t="n">
        <v>82.01391123000001</v>
      </c>
      <c r="F46" s="20" t="n">
        <v>1.55109519</v>
      </c>
      <c r="G46" s="18" t="n">
        <v>16.59739455</v>
      </c>
      <c r="H46" s="20" t="n">
        <v>1.54583193</v>
      </c>
      <c r="I46" s="18" t="s">
        <v>349</v>
      </c>
      <c r="J46" s="20" t="s">
        <v>349</v>
      </c>
      <c r="K46" s="18" t="n">
        <v>0.10130373</v>
      </c>
      <c r="L46" s="20" t="n">
        <v>0.08810364</v>
      </c>
      <c r="M46" s="18" t="n">
        <v>0</v>
      </c>
      <c r="N46" s="20" t="n">
        <v>0</v>
      </c>
      <c r="O46" s="18" t="n">
        <v>0</v>
      </c>
      <c r="P46" s="20" t="n">
        <v>0</v>
      </c>
      <c r="Q46" s="18" t="n">
        <v>1.2873905</v>
      </c>
      <c r="R46" s="20" t="n">
        <v>0.36052296</v>
      </c>
    </row>
    <row r="47" spans="1:18">
      <c r="A47" s="15" t="s">
        <v>389</v>
      </c>
      <c r="B47" s="17" t="n">
        <v>2823</v>
      </c>
      <c r="C47" s="18">
        <f>(2478.0/B47*100)</f>
        <v/>
      </c>
      <c r="D47" s="19" t="n">
        <v>345</v>
      </c>
      <c r="E47" s="18" t="n">
        <v>64.76782047</v>
      </c>
      <c r="F47" s="20" t="n">
        <v>3.38212244</v>
      </c>
      <c r="G47" s="18" t="n">
        <v>34.37683914</v>
      </c>
      <c r="H47" s="20" t="n">
        <v>3.36527407</v>
      </c>
      <c r="I47" s="18" t="s">
        <v>349</v>
      </c>
      <c r="J47" s="20" t="s">
        <v>349</v>
      </c>
      <c r="K47" s="18" t="n">
        <v>0.54573821</v>
      </c>
      <c r="L47" s="20" t="n">
        <v>0.4752036</v>
      </c>
      <c r="M47" s="18" t="n">
        <v>0</v>
      </c>
      <c r="N47" s="20" t="n">
        <v>0</v>
      </c>
      <c r="O47" s="18" t="n">
        <v>0</v>
      </c>
      <c r="P47" s="20" t="n">
        <v>0</v>
      </c>
      <c r="Q47" s="18" t="n">
        <v>0.30960217</v>
      </c>
      <c r="R47" s="20" t="n">
        <v>0.31836549</v>
      </c>
    </row>
    <row r="48" spans="1:18">
      <c r="A48" s="15" t="s">
        <v>390</v>
      </c>
      <c r="B48" s="17" t="n">
        <v>4682</v>
      </c>
      <c r="C48" s="18">
        <f>(4109.0/B48*100)</f>
        <v/>
      </c>
      <c r="D48" s="19" t="n">
        <v>573</v>
      </c>
      <c r="E48" s="18" t="n">
        <v>55.10827363</v>
      </c>
      <c r="F48" s="20" t="n">
        <v>2.65455822</v>
      </c>
      <c r="G48" s="18" t="n">
        <v>44.28833558</v>
      </c>
      <c r="H48" s="20" t="n">
        <v>2.63913823</v>
      </c>
      <c r="I48" s="18" t="s">
        <v>349</v>
      </c>
      <c r="J48" s="20" t="s">
        <v>349</v>
      </c>
      <c r="K48" s="18" t="n">
        <v>0</v>
      </c>
      <c r="L48" s="20" t="n">
        <v>0</v>
      </c>
      <c r="M48" s="18" t="n">
        <v>0</v>
      </c>
      <c r="N48" s="20" t="n">
        <v>0</v>
      </c>
      <c r="O48" s="18" t="n">
        <v>0</v>
      </c>
      <c r="P48" s="20" t="n">
        <v>0</v>
      </c>
      <c r="Q48" s="18" t="n">
        <v>0.60339079</v>
      </c>
      <c r="R48" s="20" t="n">
        <v>0.42929413</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(5401.0/B50*100)</f>
        <v/>
      </c>
      <c r="D50" s="19" t="n">
        <v>757</v>
      </c>
      <c r="E50" s="18" t="n">
        <v>77.17859862</v>
      </c>
      <c r="F50" s="20" t="n">
        <v>1.86358083</v>
      </c>
      <c r="G50" s="18" t="n">
        <v>22.53382219</v>
      </c>
      <c r="H50" s="20" t="n">
        <v>1.85710343</v>
      </c>
      <c r="I50" s="18" t="s">
        <v>349</v>
      </c>
      <c r="J50" s="20" t="s">
        <v>349</v>
      </c>
      <c r="K50" s="18" t="n">
        <v>0.03172623</v>
      </c>
      <c r="L50" s="20" t="n">
        <v>0.03352186</v>
      </c>
      <c r="M50" s="18" t="n">
        <v>0</v>
      </c>
      <c r="N50" s="20" t="n">
        <v>0</v>
      </c>
      <c r="O50" s="18" t="n">
        <v>0</v>
      </c>
      <c r="P50" s="20" t="n">
        <v>0</v>
      </c>
      <c r="Q50" s="18" t="n">
        <v>0.25585297</v>
      </c>
      <c r="R50" s="20" t="n">
        <v>0.25758995</v>
      </c>
    </row>
    <row r="51" spans="1:18">
      <c r="A51" s="15" t="s">
        <v>393</v>
      </c>
      <c r="B51" s="17" t="n">
        <v>3494</v>
      </c>
      <c r="C51" s="18">
        <f>(3092.0/B51*100)</f>
        <v/>
      </c>
      <c r="D51" s="19" t="n">
        <v>402</v>
      </c>
      <c r="E51" s="18" t="n">
        <v>81.10785785</v>
      </c>
      <c r="F51" s="20" t="n">
        <v>2.27426699</v>
      </c>
      <c r="G51" s="18" t="n">
        <v>18.44312455</v>
      </c>
      <c r="H51" s="20" t="n">
        <v>2.2665587</v>
      </c>
      <c r="I51" s="18" t="s">
        <v>349</v>
      </c>
      <c r="J51" s="20" t="s">
        <v>349</v>
      </c>
      <c r="K51" s="18" t="n">
        <v>0</v>
      </c>
      <c r="L51" s="20" t="n">
        <v>0</v>
      </c>
      <c r="M51" s="18" t="n">
        <v>0</v>
      </c>
      <c r="N51" s="20" t="n">
        <v>0</v>
      </c>
      <c r="O51" s="18" t="n">
        <v>0</v>
      </c>
      <c r="P51" s="20" t="n">
        <v>0</v>
      </c>
      <c r="Q51" s="18" t="n">
        <v>0.44901761</v>
      </c>
      <c r="R51" s="20" t="n">
        <v>0.31679354</v>
      </c>
    </row>
    <row r="52" spans="1:18">
      <c r="A52" s="15" t="s">
        <v>394</v>
      </c>
      <c r="B52" s="17" t="n">
        <v>3013</v>
      </c>
      <c r="C52" s="18">
        <f>(2637.0/B52*100)</f>
        <v/>
      </c>
      <c r="D52" s="19" t="n">
        <v>376</v>
      </c>
      <c r="E52" s="18" t="n">
        <v>67.96366374</v>
      </c>
      <c r="F52" s="20" t="n">
        <v>2.4826528</v>
      </c>
      <c r="G52" s="18" t="n">
        <v>31.51903296</v>
      </c>
      <c r="H52" s="20" t="n">
        <v>2.49160192</v>
      </c>
      <c r="I52" s="18" t="s">
        <v>349</v>
      </c>
      <c r="J52" s="20" t="s">
        <v>349</v>
      </c>
      <c r="K52" s="18" t="n">
        <v>0</v>
      </c>
      <c r="L52" s="20" t="n">
        <v>0</v>
      </c>
      <c r="M52" s="18" t="n">
        <v>0</v>
      </c>
      <c r="N52" s="20" t="n">
        <v>0</v>
      </c>
      <c r="O52" s="18" t="n">
        <v>0</v>
      </c>
      <c r="P52" s="20" t="n">
        <v>0</v>
      </c>
      <c r="Q52" s="18" t="n">
        <v>0.5173033</v>
      </c>
      <c r="R52" s="20" t="n">
        <v>0.36853153</v>
      </c>
    </row>
    <row r="53" spans="1:18">
      <c r="A53" s="15" t="s">
        <v>395</v>
      </c>
      <c r="B53" s="17" t="n">
        <v>2760</v>
      </c>
      <c r="C53" s="18">
        <f>(2409.0/B53*100)</f>
        <v/>
      </c>
      <c r="D53" s="19" t="n">
        <v>351</v>
      </c>
      <c r="E53" s="18" t="n">
        <v>74.66143221</v>
      </c>
      <c r="F53" s="20" t="n">
        <v>2.65786212</v>
      </c>
      <c r="G53" s="18" t="n">
        <v>24.89901589</v>
      </c>
      <c r="H53" s="20" t="n">
        <v>2.62448289</v>
      </c>
      <c r="I53" s="18" t="s">
        <v>349</v>
      </c>
      <c r="J53" s="20" t="s">
        <v>349</v>
      </c>
      <c r="K53" s="18" t="n">
        <v>0.2049642</v>
      </c>
      <c r="L53" s="20" t="n">
        <v>0.20833527</v>
      </c>
      <c r="M53" s="18" t="n">
        <v>0</v>
      </c>
      <c r="N53" s="20" t="n">
        <v>0</v>
      </c>
      <c r="O53" s="18" t="n">
        <v>0</v>
      </c>
      <c r="P53" s="20" t="n">
        <v>0</v>
      </c>
      <c r="Q53" s="18" t="n">
        <v>0.2345877</v>
      </c>
      <c r="R53" s="20" t="n">
        <v>0.23764913</v>
      </c>
    </row>
    <row r="54" spans="1:18">
      <c r="A54" s="15" t="s">
        <v>396</v>
      </c>
      <c r="B54" s="17" t="n">
        <v>2474</v>
      </c>
      <c r="C54" s="18">
        <f>(2081.0/B54*100)</f>
        <v/>
      </c>
      <c r="D54" s="19" t="n">
        <v>393</v>
      </c>
      <c r="E54" s="18" t="n">
        <v>82.92441436</v>
      </c>
      <c r="F54" s="20" t="n">
        <v>1.9030395</v>
      </c>
      <c r="G54" s="18" t="n">
        <v>9.75953151</v>
      </c>
      <c r="H54" s="20" t="n">
        <v>1.6997335</v>
      </c>
      <c r="I54" s="18" t="s">
        <v>349</v>
      </c>
      <c r="J54" s="20" t="s">
        <v>349</v>
      </c>
      <c r="K54" s="18" t="n">
        <v>4.8569205</v>
      </c>
      <c r="L54" s="20" t="n">
        <v>1.34565893</v>
      </c>
      <c r="M54" s="18" t="n">
        <v>0</v>
      </c>
      <c r="N54" s="20" t="n">
        <v>0</v>
      </c>
      <c r="O54" s="18" t="n">
        <v>0</v>
      </c>
      <c r="P54" s="20" t="n">
        <v>0</v>
      </c>
      <c r="Q54" s="18" t="n">
        <v>2.45913363</v>
      </c>
      <c r="R54" s="20" t="n">
        <v>0.9345196</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(2333.0/B56*100)</f>
        <v/>
      </c>
      <c r="D56" s="19" t="n">
        <v>342</v>
      </c>
      <c r="E56" s="18" t="n">
        <v>47.03204006</v>
      </c>
      <c r="F56" s="20" t="n">
        <v>3.32002028</v>
      </c>
      <c r="G56" s="18" t="n">
        <v>52.70076288</v>
      </c>
      <c r="H56" s="20" t="n">
        <v>3.32531979</v>
      </c>
      <c r="I56" s="18" t="s">
        <v>349</v>
      </c>
      <c r="J56" s="20" t="s">
        <v>349</v>
      </c>
      <c r="K56" s="18" t="n">
        <v>0.26719706</v>
      </c>
      <c r="L56" s="20" t="n">
        <v>0.29696224</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(2813.0/B61*100)</f>
        <v/>
      </c>
      <c r="D61" s="19" t="n">
        <v>388</v>
      </c>
      <c r="E61" s="18" t="n">
        <v>63.26116116</v>
      </c>
      <c r="F61" s="20" t="n">
        <v>2.98958212</v>
      </c>
      <c r="G61" s="18" t="n">
        <v>36.4105214</v>
      </c>
      <c r="H61" s="20" t="n">
        <v>2.92071349</v>
      </c>
      <c r="I61" s="18" t="s">
        <v>349</v>
      </c>
      <c r="J61" s="20" t="s">
        <v>349</v>
      </c>
      <c r="K61" s="18" t="n">
        <v>0</v>
      </c>
      <c r="L61" s="20" t="n">
        <v>0</v>
      </c>
      <c r="M61" s="18" t="n">
        <v>0</v>
      </c>
      <c r="N61" s="20" t="n">
        <v>0</v>
      </c>
      <c r="O61" s="18" t="n">
        <v>0</v>
      </c>
      <c r="P61" s="20" t="n">
        <v>0</v>
      </c>
      <c r="Q61" s="18" t="n">
        <v>0.32831743</v>
      </c>
      <c r="R61" s="20" t="n">
        <v>0.30208712</v>
      </c>
    </row>
    <row r="62" spans="1:18">
      <c r="A62" s="15" t="s">
        <v>404</v>
      </c>
      <c r="B62" s="17" t="n">
        <v>2230</v>
      </c>
      <c r="C62" s="18">
        <f>(1942.0/B62*100)</f>
        <v/>
      </c>
      <c r="D62" s="19" t="n">
        <v>288</v>
      </c>
      <c r="E62" s="18" t="n">
        <v>38.22511792</v>
      </c>
      <c r="F62" s="20" t="n">
        <v>3.13522894</v>
      </c>
      <c r="G62" s="18" t="n">
        <v>61.77488208</v>
      </c>
      <c r="H62" s="20" t="n">
        <v>3.13522894</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(2417.0/B66*100)</f>
        <v/>
      </c>
      <c r="D66" s="19" t="n">
        <v>354</v>
      </c>
      <c r="E66" s="18" t="n">
        <v>80.10171011</v>
      </c>
      <c r="F66" s="20" t="n">
        <v>1.9774793</v>
      </c>
      <c r="G66" s="18" t="n">
        <v>19.53907889</v>
      </c>
      <c r="H66" s="20" t="n">
        <v>1.97391422</v>
      </c>
      <c r="I66" s="18" t="s">
        <v>349</v>
      </c>
      <c r="J66" s="20" t="s">
        <v>349</v>
      </c>
      <c r="K66" s="18" t="n">
        <v>0</v>
      </c>
      <c r="L66" s="20" t="n">
        <v>0</v>
      </c>
      <c r="M66" s="18" t="n">
        <v>0</v>
      </c>
      <c r="N66" s="20" t="n">
        <v>0</v>
      </c>
      <c r="O66" s="18" t="n">
        <v>0</v>
      </c>
      <c r="P66" s="20" t="n">
        <v>0</v>
      </c>
      <c r="Q66" s="18" t="n">
        <v>0.359211</v>
      </c>
      <c r="R66" s="20" t="n">
        <v>0.35452359</v>
      </c>
    </row>
    <row r="67" spans="1:18">
      <c r="A67" s="15" t="s">
        <v>409</v>
      </c>
      <c r="B67" s="17" t="n">
        <v>3460</v>
      </c>
      <c r="C67" s="18">
        <f>(3033.0/B67*100)</f>
        <v/>
      </c>
      <c r="D67" s="19" t="n">
        <v>427</v>
      </c>
      <c r="E67" s="18" t="n">
        <v>78.77286506</v>
      </c>
      <c r="F67" s="20" t="n">
        <v>1.99193653</v>
      </c>
      <c r="G67" s="18" t="n">
        <v>20.75926638</v>
      </c>
      <c r="H67" s="20" t="n">
        <v>1.98547663</v>
      </c>
      <c r="I67" s="18" t="s">
        <v>349</v>
      </c>
      <c r="J67" s="20" t="s">
        <v>349</v>
      </c>
      <c r="K67" s="18" t="n">
        <v>0</v>
      </c>
      <c r="L67" s="20" t="n">
        <v>0</v>
      </c>
      <c r="M67" s="18" t="n">
        <v>0</v>
      </c>
      <c r="N67" s="20" t="n">
        <v>0</v>
      </c>
      <c r="O67" s="18" t="n">
        <v>0</v>
      </c>
      <c r="P67" s="20" t="n">
        <v>0</v>
      </c>
      <c r="Q67" s="18" t="n">
        <v>0.46786856</v>
      </c>
      <c r="R67" s="20" t="n">
        <v>0.33718969</v>
      </c>
    </row>
    <row r="68" spans="1:18">
      <c r="A68" s="15" t="s">
        <v>410</v>
      </c>
      <c r="B68" s="17" t="n">
        <v>6034</v>
      </c>
      <c r="C68" s="18">
        <f>(5026.0/B68*100)</f>
        <v/>
      </c>
      <c r="D68" s="19" t="n">
        <v>1008</v>
      </c>
      <c r="E68" s="18" t="n">
        <v>79.95310396000001</v>
      </c>
      <c r="F68" s="20" t="n">
        <v>1.08079915</v>
      </c>
      <c r="G68" s="18" t="n">
        <v>19.24021695</v>
      </c>
      <c r="H68" s="20" t="n">
        <v>1.08463832</v>
      </c>
      <c r="I68" s="18" t="s">
        <v>349</v>
      </c>
      <c r="J68" s="20" t="s">
        <v>349</v>
      </c>
      <c r="K68" s="18" t="n">
        <v>0.3915731</v>
      </c>
      <c r="L68" s="20" t="n">
        <v>0.19610814</v>
      </c>
      <c r="M68" s="18" t="n">
        <v>0</v>
      </c>
      <c r="N68" s="20" t="n">
        <v>0</v>
      </c>
      <c r="O68" s="18" t="n">
        <v>0</v>
      </c>
      <c r="P68" s="20" t="n">
        <v>0</v>
      </c>
      <c r="Q68" s="18" t="n">
        <v>0.41510599</v>
      </c>
      <c r="R68" s="20" t="n">
        <v>0.20962668</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(2708.0/B70*100)</f>
        <v/>
      </c>
      <c r="D70" s="19" t="n">
        <v>399</v>
      </c>
      <c r="E70" s="18" t="n">
        <v>59.86698453</v>
      </c>
      <c r="F70" s="20" t="n">
        <v>3.1638706</v>
      </c>
      <c r="G70" s="18" t="n">
        <v>39.76039858</v>
      </c>
      <c r="H70" s="20" t="n">
        <v>3.1552824</v>
      </c>
      <c r="I70" s="18" t="s">
        <v>349</v>
      </c>
      <c r="J70" s="20" t="s">
        <v>349</v>
      </c>
      <c r="K70" s="18" t="n">
        <v>0</v>
      </c>
      <c r="L70" s="20" t="n">
        <v>0</v>
      </c>
      <c r="M70" s="18" t="n">
        <v>0</v>
      </c>
      <c r="N70" s="20" t="n">
        <v>0</v>
      </c>
      <c r="O70" s="18" t="n">
        <v>0</v>
      </c>
      <c r="P70" s="20" t="n">
        <v>0</v>
      </c>
      <c r="Q70" s="18" t="n">
        <v>0.3726169</v>
      </c>
      <c r="R70" s="20" t="n">
        <v>0.22291547</v>
      </c>
    </row>
    <row r="71" spans="1:18">
      <c r="A71" s="15" t="s">
        <v>413</v>
      </c>
      <c r="B71" s="17" t="n">
        <v>2973</v>
      </c>
      <c r="C71" s="18">
        <f>(2627.0/B71*100)</f>
        <v/>
      </c>
      <c r="D71" s="19" t="n">
        <v>346</v>
      </c>
      <c r="E71" s="18" t="n">
        <v>35.16652898</v>
      </c>
      <c r="F71" s="20" t="n">
        <v>2.74318155</v>
      </c>
      <c r="G71" s="18" t="n">
        <v>64.63812540000001</v>
      </c>
      <c r="H71" s="20" t="n">
        <v>2.75274054</v>
      </c>
      <c r="I71" s="18" t="s">
        <v>349</v>
      </c>
      <c r="J71" s="20" t="s">
        <v>349</v>
      </c>
      <c r="K71" s="18" t="n">
        <v>0</v>
      </c>
      <c r="L71" s="20" t="n">
        <v>0</v>
      </c>
      <c r="M71" s="18" t="n">
        <v>0</v>
      </c>
      <c r="N71" s="20" t="n">
        <v>0</v>
      </c>
      <c r="O71" s="18" t="n">
        <v>0</v>
      </c>
      <c r="P71" s="20" t="n">
        <v>0</v>
      </c>
      <c r="Q71" s="18" t="n">
        <v>0.19534562</v>
      </c>
      <c r="R71" s="20" t="n">
        <v>0.19597955</v>
      </c>
    </row>
    <row r="72" spans="1:18">
      <c r="A72" s="15" t="s">
        <v>414</v>
      </c>
      <c r="B72" s="17" t="n">
        <v>3819</v>
      </c>
      <c r="C72" s="18">
        <f>(3365.0/B72*100)</f>
        <v/>
      </c>
      <c r="D72" s="19" t="n">
        <v>454</v>
      </c>
      <c r="E72" s="18" t="n">
        <v>45.01114449</v>
      </c>
      <c r="F72" s="20" t="n">
        <v>3.05262833</v>
      </c>
      <c r="G72" s="18" t="n">
        <v>54.98885551</v>
      </c>
      <c r="H72" s="20" t="n">
        <v>3.05262833</v>
      </c>
      <c r="I72" s="18" t="s">
        <v>349</v>
      </c>
      <c r="J72" s="20" t="s">
        <v>349</v>
      </c>
      <c r="K72" s="18" t="n">
        <v>0</v>
      </c>
      <c r="L72" s="20" t="n">
        <v>0</v>
      </c>
      <c r="M72" s="18" t="n">
        <v>0</v>
      </c>
      <c r="N72" s="20" t="n">
        <v>0</v>
      </c>
      <c r="O72" s="18" t="n">
        <v>0</v>
      </c>
      <c r="P72" s="20" t="n">
        <v>0</v>
      </c>
      <c r="Q72" s="18" t="n">
        <v>0</v>
      </c>
      <c r="R72" s="20" t="n">
        <v>0</v>
      </c>
    </row>
    <row r="73" spans="1:18">
      <c r="A73" s="15" t="s">
        <v>415</v>
      </c>
      <c r="B73" s="17" t="n">
        <v>4652</v>
      </c>
      <c r="C73" s="18">
        <f>(4062.0/B73*100)</f>
        <v/>
      </c>
      <c r="D73" s="19" t="n">
        <v>590</v>
      </c>
      <c r="E73" s="18" t="n">
        <v>70.78944697999999</v>
      </c>
      <c r="F73" s="20" t="n">
        <v>2.2232651</v>
      </c>
      <c r="G73" s="18" t="n">
        <v>29.15048693</v>
      </c>
      <c r="H73" s="20" t="n">
        <v>2.22102894</v>
      </c>
      <c r="I73" s="18" t="s">
        <v>349</v>
      </c>
      <c r="J73" s="20" t="s">
        <v>349</v>
      </c>
      <c r="K73" s="18" t="n">
        <v>0.06006609</v>
      </c>
      <c r="L73" s="20" t="n">
        <v>0.06345995</v>
      </c>
      <c r="M73" s="18" t="n">
        <v>0</v>
      </c>
      <c r="N73" s="20" t="n">
        <v>0</v>
      </c>
      <c r="O73" s="18" t="n">
        <v>0</v>
      </c>
      <c r="P73" s="20" t="n">
        <v>0</v>
      </c>
      <c r="Q73" s="18" t="n">
        <v>0</v>
      </c>
      <c r="R73" s="20" t="n">
        <v>0</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(2644.0/B75*100)</f>
        <v/>
      </c>
      <c r="D75" s="19" t="n">
        <v>325</v>
      </c>
      <c r="E75" s="18" t="n">
        <v>80.97338490999999</v>
      </c>
      <c r="F75" s="20" t="n">
        <v>1.93746651</v>
      </c>
      <c r="G75" s="18" t="n">
        <v>17.445126</v>
      </c>
      <c r="H75" s="20" t="n">
        <v>2.10904171</v>
      </c>
      <c r="I75" s="18" t="s">
        <v>349</v>
      </c>
      <c r="J75" s="20" t="s">
        <v>349</v>
      </c>
      <c r="K75" s="18" t="n">
        <v>0.32251238</v>
      </c>
      <c r="L75" s="20" t="n">
        <v>0.23033301</v>
      </c>
      <c r="M75" s="18" t="n">
        <v>0</v>
      </c>
      <c r="N75" s="20" t="n">
        <v>0</v>
      </c>
      <c r="O75" s="18" t="n">
        <v>0</v>
      </c>
      <c r="P75" s="20" t="n">
        <v>0</v>
      </c>
      <c r="Q75" s="18" t="n">
        <v>1.25897671</v>
      </c>
      <c r="R75" s="20" t="n">
        <v>0.65997224</v>
      </c>
    </row>
    <row r="76" spans="1:18">
      <c r="A76" s="15" t="s">
        <v>418</v>
      </c>
      <c r="B76" s="17" t="n">
        <v>7115</v>
      </c>
      <c r="C76" s="18">
        <f>(6257.0/B76*100)</f>
        <v/>
      </c>
      <c r="D76" s="19" t="n">
        <v>858</v>
      </c>
      <c r="E76" s="18" t="n">
        <v>78.79195849</v>
      </c>
      <c r="F76" s="20" t="n">
        <v>1.63022273</v>
      </c>
      <c r="G76" s="18" t="n">
        <v>20.64335067</v>
      </c>
      <c r="H76" s="20" t="n">
        <v>1.59804119</v>
      </c>
      <c r="I76" s="18" t="s">
        <v>349</v>
      </c>
      <c r="J76" s="20" t="s">
        <v>349</v>
      </c>
      <c r="K76" s="18" t="n">
        <v>0.46466228</v>
      </c>
      <c r="L76" s="20" t="n">
        <v>0.28711919</v>
      </c>
      <c r="M76" s="18" t="n">
        <v>0</v>
      </c>
      <c r="N76" s="20" t="n">
        <v>0</v>
      </c>
      <c r="O76" s="18" t="n">
        <v>0</v>
      </c>
      <c r="P76" s="20" t="n">
        <v>0</v>
      </c>
      <c r="Q76" s="18" t="n">
        <v>0.10002856</v>
      </c>
      <c r="R76" s="20" t="n">
        <v>0.07255565999999999</v>
      </c>
    </row>
    <row r="77" spans="1:18">
      <c r="A77" s="15" t="s">
        <v>419</v>
      </c>
      <c r="B77" s="17" t="n">
        <v>3154</v>
      </c>
      <c r="C77" s="18">
        <f>(2791.0/B77*100)</f>
        <v/>
      </c>
      <c r="D77" s="19" t="n">
        <v>363</v>
      </c>
      <c r="E77" s="18" t="n">
        <v>68.71043179</v>
      </c>
      <c r="F77" s="20" t="n">
        <v>2.57981398</v>
      </c>
      <c r="G77" s="18" t="n">
        <v>29.9382416</v>
      </c>
      <c r="H77" s="20" t="n">
        <v>2.64843265</v>
      </c>
      <c r="I77" s="18" t="s">
        <v>349</v>
      </c>
      <c r="J77" s="20" t="s">
        <v>349</v>
      </c>
      <c r="K77" s="18" t="n">
        <v>0.36694819</v>
      </c>
      <c r="L77" s="20" t="n">
        <v>0.24888954</v>
      </c>
      <c r="M77" s="18" t="n">
        <v>0</v>
      </c>
      <c r="N77" s="20" t="n">
        <v>0</v>
      </c>
      <c r="O77" s="18" t="n">
        <v>0</v>
      </c>
      <c r="P77" s="20" t="n">
        <v>0</v>
      </c>
      <c r="Q77" s="18" t="n">
        <v>0.98437842</v>
      </c>
      <c r="R77" s="20" t="n">
        <v>0.50636971</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(4120.0/B81*100)</f>
        <v/>
      </c>
      <c r="D81" s="19" t="n">
        <v>578</v>
      </c>
      <c r="E81" s="18" t="n">
        <v>70.97989398999999</v>
      </c>
      <c r="F81" s="20" t="n">
        <v>2.40627269</v>
      </c>
      <c r="G81" s="18" t="n">
        <v>28.78460038</v>
      </c>
      <c r="H81" s="20" t="n">
        <v>2.36510798</v>
      </c>
      <c r="I81" s="18" t="s">
        <v>349</v>
      </c>
      <c r="J81" s="20" t="s">
        <v>349</v>
      </c>
      <c r="K81" s="18" t="n">
        <v>0.23550563</v>
      </c>
      <c r="L81" s="20" t="n">
        <v>0.23389442</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(6343.0/B7*100)</f>
        <v/>
      </c>
      <c r="D7" s="19" t="n">
        <v>820</v>
      </c>
      <c r="E7" s="18" t="n">
        <v>37.41048232</v>
      </c>
      <c r="F7" s="20" t="n">
        <v>2.15502929</v>
      </c>
      <c r="G7" s="18" t="n">
        <v>60.05602219</v>
      </c>
      <c r="H7" s="20" t="n">
        <v>2.17582411</v>
      </c>
      <c r="I7" s="18" t="s">
        <v>349</v>
      </c>
      <c r="J7" s="20" t="s">
        <v>349</v>
      </c>
      <c r="K7" s="18" t="n">
        <v>0.1936772</v>
      </c>
      <c r="L7" s="20" t="n">
        <v>0.18526603</v>
      </c>
      <c r="M7" s="18" t="n">
        <v>0</v>
      </c>
      <c r="N7" s="20" t="n">
        <v>0</v>
      </c>
      <c r="O7" s="18" t="n">
        <v>0</v>
      </c>
      <c r="P7" s="20" t="n">
        <v>0</v>
      </c>
      <c r="Q7" s="18" t="n">
        <v>2.33981829</v>
      </c>
      <c r="R7" s="20" t="n">
        <v>0.61181905</v>
      </c>
    </row>
    <row r="8" spans="1:18">
      <c r="A8" s="15" t="s">
        <v>350</v>
      </c>
      <c r="B8" s="17" t="n">
        <v>3443</v>
      </c>
      <c r="C8" s="18">
        <f>(3044.0/B8*100)</f>
        <v/>
      </c>
      <c r="D8" s="19" t="n">
        <v>399</v>
      </c>
      <c r="E8" s="18" t="n">
        <v>35.18876391</v>
      </c>
      <c r="F8" s="20" t="n">
        <v>2.59037766</v>
      </c>
      <c r="G8" s="18" t="n">
        <v>59.19547343</v>
      </c>
      <c r="H8" s="20" t="n">
        <v>2.95466698</v>
      </c>
      <c r="I8" s="18" t="s">
        <v>349</v>
      </c>
      <c r="J8" s="20" t="s">
        <v>349</v>
      </c>
      <c r="K8" s="18" t="n">
        <v>0</v>
      </c>
      <c r="L8" s="20" t="n">
        <v>0</v>
      </c>
      <c r="M8" s="18" t="n">
        <v>0</v>
      </c>
      <c r="N8" s="20" t="n">
        <v>0</v>
      </c>
      <c r="O8" s="18" t="n">
        <v>0</v>
      </c>
      <c r="P8" s="20" t="n">
        <v>0</v>
      </c>
      <c r="Q8" s="18" t="n">
        <v>5.61576266</v>
      </c>
      <c r="R8" s="20" t="n">
        <v>2.58115448</v>
      </c>
    </row>
    <row r="9" spans="1:18">
      <c r="A9" s="15" t="s">
        <v>351</v>
      </c>
      <c r="B9" s="17" t="n">
        <v>4752</v>
      </c>
      <c r="C9" s="18">
        <f>(4201.0/B9*100)</f>
        <v/>
      </c>
      <c r="D9" s="19" t="n">
        <v>551</v>
      </c>
      <c r="E9" s="18" t="n">
        <v>28.79521676</v>
      </c>
      <c r="F9" s="20" t="n">
        <v>2.66045739</v>
      </c>
      <c r="G9" s="18" t="n">
        <v>69.79993238</v>
      </c>
      <c r="H9" s="20" t="n">
        <v>2.75225756</v>
      </c>
      <c r="I9" s="18" t="s">
        <v>349</v>
      </c>
      <c r="J9" s="20" t="s">
        <v>349</v>
      </c>
      <c r="K9" s="18" t="n">
        <v>0</v>
      </c>
      <c r="L9" s="20" t="n">
        <v>0</v>
      </c>
      <c r="M9" s="18" t="n">
        <v>0</v>
      </c>
      <c r="N9" s="20" t="n">
        <v>0</v>
      </c>
      <c r="O9" s="18" t="n">
        <v>0</v>
      </c>
      <c r="P9" s="20" t="n">
        <v>0</v>
      </c>
      <c r="Q9" s="18" t="n">
        <v>1.40485085</v>
      </c>
      <c r="R9" s="20" t="n">
        <v>0.49563709</v>
      </c>
    </row>
    <row r="10" spans="1:18">
      <c r="A10" s="15" t="s">
        <v>352</v>
      </c>
      <c r="B10" s="17" t="n">
        <v>10022</v>
      </c>
      <c r="C10" s="18">
        <f>(8800.0/B10*100)</f>
        <v/>
      </c>
      <c r="D10" s="19" t="n">
        <v>1222</v>
      </c>
      <c r="E10" s="18" t="n">
        <v>31.77697143</v>
      </c>
      <c r="F10" s="20" t="n">
        <v>2.10668107</v>
      </c>
      <c r="G10" s="18" t="n">
        <v>65.44861791</v>
      </c>
      <c r="H10" s="20" t="n">
        <v>2.10324425</v>
      </c>
      <c r="I10" s="18" t="s">
        <v>349</v>
      </c>
      <c r="J10" s="20" t="s">
        <v>349</v>
      </c>
      <c r="K10" s="18" t="n">
        <v>0.00653155</v>
      </c>
      <c r="L10" s="20" t="n">
        <v>0.00633223</v>
      </c>
      <c r="M10" s="18" t="n">
        <v>0</v>
      </c>
      <c r="N10" s="20" t="n">
        <v>0</v>
      </c>
      <c r="O10" s="18" t="n">
        <v>0</v>
      </c>
      <c r="P10" s="20" t="n">
        <v>0</v>
      </c>
      <c r="Q10" s="18" t="n">
        <v>2.7678791</v>
      </c>
      <c r="R10" s="20" t="n">
        <v>0.65834198</v>
      </c>
    </row>
    <row r="11" spans="1:18">
      <c r="A11" s="15" t="s">
        <v>353</v>
      </c>
      <c r="B11" s="17" t="n">
        <v>3500</v>
      </c>
      <c r="C11" s="18">
        <f>(3084.0/B11*100)</f>
        <v/>
      </c>
      <c r="D11" s="19" t="n">
        <v>416</v>
      </c>
      <c r="E11" s="18" t="n">
        <v>46.3013288</v>
      </c>
      <c r="F11" s="20" t="n">
        <v>2.79178606</v>
      </c>
      <c r="G11" s="18" t="n">
        <v>45.21774929</v>
      </c>
      <c r="H11" s="20" t="n">
        <v>2.96824649</v>
      </c>
      <c r="I11" s="18" t="s">
        <v>349</v>
      </c>
      <c r="J11" s="20" t="s">
        <v>349</v>
      </c>
      <c r="K11" s="18" t="n">
        <v>0</v>
      </c>
      <c r="L11" s="20" t="n">
        <v>0</v>
      </c>
      <c r="M11" s="18" t="n">
        <v>0</v>
      </c>
      <c r="N11" s="20" t="n">
        <v>0</v>
      </c>
      <c r="O11" s="18" t="n">
        <v>0</v>
      </c>
      <c r="P11" s="20" t="n">
        <v>0</v>
      </c>
      <c r="Q11" s="18" t="n">
        <v>8.48092192</v>
      </c>
      <c r="R11" s="20" t="n">
        <v>1.99134379</v>
      </c>
    </row>
    <row r="12" spans="1:18">
      <c r="A12" s="15" t="s">
        <v>354</v>
      </c>
      <c r="B12" s="17" t="n">
        <v>3422</v>
      </c>
      <c r="C12" s="18">
        <f>(2986.0/B12*100)</f>
        <v/>
      </c>
      <c r="D12" s="19" t="n">
        <v>436</v>
      </c>
      <c r="E12" s="18" t="n">
        <v>27.53254714</v>
      </c>
      <c r="F12" s="20" t="n">
        <v>2.44313565</v>
      </c>
      <c r="G12" s="18" t="n">
        <v>68.52339005</v>
      </c>
      <c r="H12" s="20" t="n">
        <v>2.59718351</v>
      </c>
      <c r="I12" s="18" t="s">
        <v>349</v>
      </c>
      <c r="J12" s="20" t="s">
        <v>349</v>
      </c>
      <c r="K12" s="18" t="n">
        <v>0</v>
      </c>
      <c r="L12" s="20" t="n">
        <v>0</v>
      </c>
      <c r="M12" s="18" t="n">
        <v>0</v>
      </c>
      <c r="N12" s="20" t="n">
        <v>0</v>
      </c>
      <c r="O12" s="18" t="n">
        <v>0</v>
      </c>
      <c r="P12" s="20" t="n">
        <v>0</v>
      </c>
      <c r="Q12" s="18" t="n">
        <v>3.94406282</v>
      </c>
      <c r="R12" s="20" t="n">
        <v>1.11794492</v>
      </c>
    </row>
    <row r="13" spans="1:18">
      <c r="A13" s="15" t="s">
        <v>355</v>
      </c>
      <c r="B13" s="17" t="n">
        <v>3602</v>
      </c>
      <c r="C13" s="18">
        <f>(3174.0/B13*100)</f>
        <v/>
      </c>
      <c r="D13" s="19" t="n">
        <v>428</v>
      </c>
      <c r="E13" s="18" t="n">
        <v>32.40220656</v>
      </c>
      <c r="F13" s="20" t="n">
        <v>2.32800742</v>
      </c>
      <c r="G13" s="18" t="n">
        <v>65.18137867999999</v>
      </c>
      <c r="H13" s="20" t="n">
        <v>2.43372593</v>
      </c>
      <c r="I13" s="18" t="s">
        <v>349</v>
      </c>
      <c r="J13" s="20" t="s">
        <v>349</v>
      </c>
      <c r="K13" s="18" t="n">
        <v>0.16870847</v>
      </c>
      <c r="L13" s="20" t="n">
        <v>0.17294738</v>
      </c>
      <c r="M13" s="18" t="n">
        <v>0</v>
      </c>
      <c r="N13" s="20" t="n">
        <v>0</v>
      </c>
      <c r="O13" s="18" t="n">
        <v>0</v>
      </c>
      <c r="P13" s="20" t="n">
        <v>0</v>
      </c>
      <c r="Q13" s="18" t="n">
        <v>2.24770629</v>
      </c>
      <c r="R13" s="20" t="n">
        <v>0.7817168</v>
      </c>
    </row>
    <row r="14" spans="1:18">
      <c r="A14" s="15" t="s">
        <v>356</v>
      </c>
      <c r="B14" s="17" t="n">
        <v>2788</v>
      </c>
      <c r="C14" s="18">
        <f>(2432.0/B14*100)</f>
        <v/>
      </c>
      <c r="D14" s="19" t="n">
        <v>356</v>
      </c>
      <c r="E14" s="18" t="n">
        <v>30.40303531</v>
      </c>
      <c r="F14" s="20" t="n">
        <v>2.56278835</v>
      </c>
      <c r="G14" s="18" t="n">
        <v>69.10100321</v>
      </c>
      <c r="H14" s="20" t="n">
        <v>2.61478767</v>
      </c>
      <c r="I14" s="18" t="s">
        <v>349</v>
      </c>
      <c r="J14" s="20" t="s">
        <v>349</v>
      </c>
      <c r="K14" s="18" t="n">
        <v>0</v>
      </c>
      <c r="L14" s="20" t="n">
        <v>0</v>
      </c>
      <c r="M14" s="18" t="n">
        <v>0</v>
      </c>
      <c r="N14" s="20" t="n">
        <v>0</v>
      </c>
      <c r="O14" s="18" t="n">
        <v>0</v>
      </c>
      <c r="P14" s="20" t="n">
        <v>0</v>
      </c>
      <c r="Q14" s="18" t="n">
        <v>0.49596149</v>
      </c>
      <c r="R14" s="20" t="n">
        <v>0.36639407</v>
      </c>
    </row>
    <row r="15" spans="1:18">
      <c r="A15" s="15" t="s">
        <v>357</v>
      </c>
      <c r="B15" s="17" t="n">
        <v>2863</v>
      </c>
      <c r="C15" s="18">
        <f>(2508.0/B15*100)</f>
        <v/>
      </c>
      <c r="D15" s="19" t="n">
        <v>355</v>
      </c>
      <c r="E15" s="18" t="n">
        <v>29.78255986</v>
      </c>
      <c r="F15" s="20" t="n">
        <v>2.46081357</v>
      </c>
      <c r="G15" s="18" t="n">
        <v>67.85953256000001</v>
      </c>
      <c r="H15" s="20" t="n">
        <v>2.65689718</v>
      </c>
      <c r="I15" s="18" t="s">
        <v>349</v>
      </c>
      <c r="J15" s="20" t="s">
        <v>349</v>
      </c>
      <c r="K15" s="18" t="n">
        <v>0.27671579</v>
      </c>
      <c r="L15" s="20" t="n">
        <v>0.27209393</v>
      </c>
      <c r="M15" s="18" t="n">
        <v>0</v>
      </c>
      <c r="N15" s="20" t="n">
        <v>0</v>
      </c>
      <c r="O15" s="18" t="n">
        <v>0</v>
      </c>
      <c r="P15" s="20" t="n">
        <v>0</v>
      </c>
      <c r="Q15" s="18" t="n">
        <v>2.08119179</v>
      </c>
      <c r="R15" s="20" t="n">
        <v>0.7389712000000001</v>
      </c>
    </row>
    <row r="16" spans="1:18">
      <c r="A16" s="15" t="s">
        <v>358</v>
      </c>
      <c r="B16" s="17" t="n">
        <v>3111</v>
      </c>
      <c r="C16" s="18">
        <f>(2723.0/B16*100)</f>
        <v/>
      </c>
      <c r="D16" s="19" t="n">
        <v>388</v>
      </c>
      <c r="E16" s="18" t="n">
        <v>34.37882407</v>
      </c>
      <c r="F16" s="20" t="n">
        <v>2.21269932</v>
      </c>
      <c r="G16" s="18" t="n">
        <v>59.64642244</v>
      </c>
      <c r="H16" s="20" t="n">
        <v>2.40067778</v>
      </c>
      <c r="I16" s="18" t="s">
        <v>349</v>
      </c>
      <c r="J16" s="20" t="s">
        <v>349</v>
      </c>
      <c r="K16" s="18" t="n">
        <v>0.25632567</v>
      </c>
      <c r="L16" s="20" t="n">
        <v>0.30387097</v>
      </c>
      <c r="M16" s="18" t="n">
        <v>0</v>
      </c>
      <c r="N16" s="20" t="n">
        <v>0</v>
      </c>
      <c r="O16" s="18" t="n">
        <v>0</v>
      </c>
      <c r="P16" s="20" t="n">
        <v>0</v>
      </c>
      <c r="Q16" s="18" t="n">
        <v>5.71842781</v>
      </c>
      <c r="R16" s="20" t="n">
        <v>1.22347701</v>
      </c>
    </row>
    <row r="17" spans="1:18">
      <c r="A17" s="15" t="s">
        <v>359</v>
      </c>
      <c r="B17" s="17" t="n">
        <v>3197</v>
      </c>
      <c r="C17" s="18">
        <f>(2820.0/B17*100)</f>
        <v/>
      </c>
      <c r="D17" s="19" t="n">
        <v>377</v>
      </c>
      <c r="E17" s="18" t="n">
        <v>29.81642278</v>
      </c>
      <c r="F17" s="20" t="n">
        <v>2.45053046</v>
      </c>
      <c r="G17" s="18" t="n">
        <v>67.04739044999999</v>
      </c>
      <c r="H17" s="20" t="n">
        <v>2.53350514</v>
      </c>
      <c r="I17" s="18" t="s">
        <v>349</v>
      </c>
      <c r="J17" s="20" t="s">
        <v>349</v>
      </c>
      <c r="K17" s="18" t="n">
        <v>0</v>
      </c>
      <c r="L17" s="20" t="n">
        <v>0</v>
      </c>
      <c r="M17" s="18" t="n">
        <v>0</v>
      </c>
      <c r="N17" s="20" t="n">
        <v>0</v>
      </c>
      <c r="O17" s="18" t="n">
        <v>0</v>
      </c>
      <c r="P17" s="20" t="n">
        <v>0</v>
      </c>
      <c r="Q17" s="18" t="n">
        <v>3.13618677</v>
      </c>
      <c r="R17" s="20" t="n">
        <v>1.02512644</v>
      </c>
    </row>
    <row r="18" spans="1:18">
      <c r="A18" s="15" t="s">
        <v>360</v>
      </c>
      <c r="B18" s="17" t="n">
        <v>2706</v>
      </c>
      <c r="C18" s="18">
        <f>(2339.0/B18*100)</f>
        <v/>
      </c>
      <c r="D18" s="19" t="n">
        <v>367</v>
      </c>
      <c r="E18" s="18" t="n">
        <v>39.63092477</v>
      </c>
      <c r="F18" s="20" t="n">
        <v>2.8979339</v>
      </c>
      <c r="G18" s="18" t="n">
        <v>54.23307244</v>
      </c>
      <c r="H18" s="20" t="n">
        <v>3.0228097</v>
      </c>
      <c r="I18" s="18" t="s">
        <v>349</v>
      </c>
      <c r="J18" s="20" t="s">
        <v>349</v>
      </c>
      <c r="K18" s="18" t="n">
        <v>0.70183831</v>
      </c>
      <c r="L18" s="20" t="n">
        <v>0.69210836</v>
      </c>
      <c r="M18" s="18" t="n">
        <v>0</v>
      </c>
      <c r="N18" s="20" t="n">
        <v>0</v>
      </c>
      <c r="O18" s="18" t="n">
        <v>0</v>
      </c>
      <c r="P18" s="20" t="n">
        <v>0</v>
      </c>
      <c r="Q18" s="18" t="n">
        <v>5.43416448</v>
      </c>
      <c r="R18" s="20" t="n">
        <v>1.30338307</v>
      </c>
    </row>
    <row r="19" spans="1:18">
      <c r="A19" s="15" t="s">
        <v>361</v>
      </c>
      <c r="B19" s="17" t="n">
        <v>2850</v>
      </c>
      <c r="C19" s="18">
        <f>(2492.0/B19*100)</f>
        <v/>
      </c>
      <c r="D19" s="19" t="n">
        <v>358</v>
      </c>
      <c r="E19" s="18" t="n">
        <v>36.46724236</v>
      </c>
      <c r="F19" s="20" t="n">
        <v>2.73758515</v>
      </c>
      <c r="G19" s="18" t="n">
        <v>59.50090936</v>
      </c>
      <c r="H19" s="20" t="n">
        <v>2.88710171</v>
      </c>
      <c r="I19" s="18" t="s">
        <v>349</v>
      </c>
      <c r="J19" s="20" t="s">
        <v>349</v>
      </c>
      <c r="K19" s="18" t="n">
        <v>0</v>
      </c>
      <c r="L19" s="20" t="n">
        <v>0</v>
      </c>
      <c r="M19" s="18" t="n">
        <v>0</v>
      </c>
      <c r="N19" s="20" t="n">
        <v>0</v>
      </c>
      <c r="O19" s="18" t="n">
        <v>0</v>
      </c>
      <c r="P19" s="20" t="n">
        <v>0</v>
      </c>
      <c r="Q19" s="18" t="n">
        <v>4.03184828</v>
      </c>
      <c r="R19" s="20" t="n">
        <v>0.96681005</v>
      </c>
    </row>
    <row r="20" spans="1:18">
      <c r="A20" s="15" t="s">
        <v>362</v>
      </c>
      <c r="B20" s="17" t="n">
        <v>1741</v>
      </c>
      <c r="C20" s="18">
        <f>(1526.0/B20*100)</f>
        <v/>
      </c>
      <c r="D20" s="19" t="n">
        <v>215</v>
      </c>
      <c r="E20" s="18" t="n">
        <v>36.71994216</v>
      </c>
      <c r="F20" s="20" t="n">
        <v>3.66956835</v>
      </c>
      <c r="G20" s="18" t="n">
        <v>61.56602279</v>
      </c>
      <c r="H20" s="20" t="n">
        <v>3.70534243</v>
      </c>
      <c r="I20" s="18" t="s">
        <v>349</v>
      </c>
      <c r="J20" s="20" t="s">
        <v>349</v>
      </c>
      <c r="K20" s="18" t="n">
        <v>0</v>
      </c>
      <c r="L20" s="20" t="n">
        <v>0</v>
      </c>
      <c r="M20" s="18" t="n">
        <v>0</v>
      </c>
      <c r="N20" s="20" t="n">
        <v>0</v>
      </c>
      <c r="O20" s="18" t="n">
        <v>0</v>
      </c>
      <c r="P20" s="20" t="n">
        <v>0</v>
      </c>
      <c r="Q20" s="18" t="n">
        <v>1.71403505</v>
      </c>
      <c r="R20" s="20" t="n">
        <v>0.8627923</v>
      </c>
    </row>
    <row r="21" spans="1:18">
      <c r="A21" s="15" t="s">
        <v>363</v>
      </c>
      <c r="B21" s="17" t="n">
        <v>2833</v>
      </c>
      <c r="C21" s="18">
        <f>(2345.0/B21*100)</f>
        <v/>
      </c>
      <c r="D21" s="19" t="n">
        <v>488</v>
      </c>
      <c r="E21" s="18" t="n">
        <v>34.99558548</v>
      </c>
      <c r="F21" s="20" t="n">
        <v>2.33607732</v>
      </c>
      <c r="G21" s="18" t="n">
        <v>63.8973506</v>
      </c>
      <c r="H21" s="20" t="n">
        <v>2.39422621</v>
      </c>
      <c r="I21" s="18" t="s">
        <v>349</v>
      </c>
      <c r="J21" s="20" t="s">
        <v>349</v>
      </c>
      <c r="K21" s="18" t="n">
        <v>0</v>
      </c>
      <c r="L21" s="20" t="n">
        <v>0</v>
      </c>
      <c r="M21" s="18" t="n">
        <v>0</v>
      </c>
      <c r="N21" s="20" t="n">
        <v>0</v>
      </c>
      <c r="O21" s="18" t="n">
        <v>0</v>
      </c>
      <c r="P21" s="20" t="n">
        <v>0</v>
      </c>
      <c r="Q21" s="18" t="n">
        <v>1.10706392</v>
      </c>
      <c r="R21" s="20" t="n">
        <v>0.36073523</v>
      </c>
    </row>
    <row r="22" spans="1:18">
      <c r="A22" s="15" t="s">
        <v>364</v>
      </c>
      <c r="B22" s="17" t="n">
        <v>3667</v>
      </c>
      <c r="C22" s="18">
        <f>(3228.0/B22*100)</f>
        <v/>
      </c>
      <c r="D22" s="19" t="n">
        <v>439</v>
      </c>
      <c r="E22" s="18" t="n">
        <v>41.10883775</v>
      </c>
      <c r="F22" s="20" t="n">
        <v>2.85841619</v>
      </c>
      <c r="G22" s="18" t="n">
        <v>56.02952383</v>
      </c>
      <c r="H22" s="20" t="n">
        <v>2.9857116</v>
      </c>
      <c r="I22" s="18" t="s">
        <v>349</v>
      </c>
      <c r="J22" s="20" t="s">
        <v>349</v>
      </c>
      <c r="K22" s="18" t="n">
        <v>0</v>
      </c>
      <c r="L22" s="20" t="n">
        <v>0</v>
      </c>
      <c r="M22" s="18" t="n">
        <v>0</v>
      </c>
      <c r="N22" s="20" t="n">
        <v>0</v>
      </c>
      <c r="O22" s="18" t="n">
        <v>0</v>
      </c>
      <c r="P22" s="20" t="n">
        <v>0</v>
      </c>
      <c r="Q22" s="18" t="n">
        <v>2.86163842</v>
      </c>
      <c r="R22" s="20" t="n">
        <v>0.78575387</v>
      </c>
    </row>
    <row r="23" spans="1:18">
      <c r="A23" s="15" t="s">
        <v>365</v>
      </c>
      <c r="B23" s="17" t="n">
        <v>5792</v>
      </c>
      <c r="C23" s="18">
        <f>(5068.0/B23*100)</f>
        <v/>
      </c>
      <c r="D23" s="19" t="n">
        <v>724</v>
      </c>
      <c r="E23" s="18" t="n">
        <v>32.78426646</v>
      </c>
      <c r="F23" s="20" t="n">
        <v>2.65716323</v>
      </c>
      <c r="G23" s="18" t="n">
        <v>64.01168798</v>
      </c>
      <c r="H23" s="20" t="n">
        <v>2.70236407</v>
      </c>
      <c r="I23" s="18" t="s">
        <v>349</v>
      </c>
      <c r="J23" s="20" t="s">
        <v>349</v>
      </c>
      <c r="K23" s="18" t="n">
        <v>0</v>
      </c>
      <c r="L23" s="20" t="n">
        <v>0</v>
      </c>
      <c r="M23" s="18" t="n">
        <v>0</v>
      </c>
      <c r="N23" s="20" t="n">
        <v>0</v>
      </c>
      <c r="O23" s="18" t="n">
        <v>0</v>
      </c>
      <c r="P23" s="20" t="n">
        <v>0</v>
      </c>
      <c r="Q23" s="18" t="n">
        <v>3.20404556</v>
      </c>
      <c r="R23" s="20" t="n">
        <v>0.77288714</v>
      </c>
    </row>
    <row r="24" spans="1:18">
      <c r="A24" s="15" t="s">
        <v>366</v>
      </c>
      <c r="B24" s="17" t="n">
        <v>3309</v>
      </c>
      <c r="C24" s="18">
        <f>(2900.0/B24*100)</f>
        <v/>
      </c>
      <c r="D24" s="19" t="n">
        <v>409</v>
      </c>
      <c r="E24" s="18" t="n">
        <v>25.97404362</v>
      </c>
      <c r="F24" s="20" t="n">
        <v>2.30632262</v>
      </c>
      <c r="G24" s="18" t="n">
        <v>72.11113764</v>
      </c>
      <c r="H24" s="20" t="n">
        <v>2.29247338</v>
      </c>
      <c r="I24" s="18" t="s">
        <v>349</v>
      </c>
      <c r="J24" s="20" t="s">
        <v>349</v>
      </c>
      <c r="K24" s="18" t="n">
        <v>0</v>
      </c>
      <c r="L24" s="20" t="n">
        <v>0</v>
      </c>
      <c r="M24" s="18" t="n">
        <v>0</v>
      </c>
      <c r="N24" s="20" t="n">
        <v>0</v>
      </c>
      <c r="O24" s="18" t="n">
        <v>0</v>
      </c>
      <c r="P24" s="20" t="n">
        <v>0</v>
      </c>
      <c r="Q24" s="18" t="n">
        <v>1.91481874</v>
      </c>
      <c r="R24" s="20" t="n">
        <v>0.73575337</v>
      </c>
    </row>
    <row r="25" spans="1:18">
      <c r="A25" s="15" t="s">
        <v>367</v>
      </c>
      <c r="B25" s="17" t="n">
        <v>2669</v>
      </c>
      <c r="C25" s="18">
        <f>(2342.0/B25*100)</f>
        <v/>
      </c>
      <c r="D25" s="19" t="n">
        <v>327</v>
      </c>
      <c r="E25" s="18" t="n">
        <v>26.37197529</v>
      </c>
      <c r="F25" s="20" t="n">
        <v>3.0813623</v>
      </c>
      <c r="G25" s="18" t="n">
        <v>71.24495795999999</v>
      </c>
      <c r="H25" s="20" t="n">
        <v>2.87616526</v>
      </c>
      <c r="I25" s="18" t="s">
        <v>349</v>
      </c>
      <c r="J25" s="20" t="s">
        <v>349</v>
      </c>
      <c r="K25" s="18" t="n">
        <v>0</v>
      </c>
      <c r="L25" s="20" t="n">
        <v>0</v>
      </c>
      <c r="M25" s="18" t="n">
        <v>0</v>
      </c>
      <c r="N25" s="20" t="n">
        <v>0</v>
      </c>
      <c r="O25" s="18" t="n">
        <v>0</v>
      </c>
      <c r="P25" s="20" t="n">
        <v>0</v>
      </c>
      <c r="Q25" s="18" t="n">
        <v>2.38306675</v>
      </c>
      <c r="R25" s="20" t="n">
        <v>0.93411164</v>
      </c>
    </row>
    <row r="26" spans="1:18">
      <c r="A26" s="15" t="s">
        <v>368</v>
      </c>
      <c r="B26" s="17" t="n">
        <v>2419</v>
      </c>
      <c r="C26" s="18">
        <f>(2121.0/B26*100)</f>
        <v/>
      </c>
      <c r="D26" s="19" t="n">
        <v>298</v>
      </c>
      <c r="E26" s="18" t="n">
        <v>34.48747085</v>
      </c>
      <c r="F26" s="20" t="n">
        <v>2.66415855</v>
      </c>
      <c r="G26" s="18" t="n">
        <v>63.8282491</v>
      </c>
      <c r="H26" s="20" t="n">
        <v>2.69632288</v>
      </c>
      <c r="I26" s="18" t="s">
        <v>349</v>
      </c>
      <c r="J26" s="20" t="s">
        <v>349</v>
      </c>
      <c r="K26" s="18" t="n">
        <v>0</v>
      </c>
      <c r="L26" s="20" t="n">
        <v>0</v>
      </c>
      <c r="M26" s="18" t="n">
        <v>0</v>
      </c>
      <c r="N26" s="20" t="n">
        <v>0</v>
      </c>
      <c r="O26" s="18" t="n">
        <v>0</v>
      </c>
      <c r="P26" s="20" t="n">
        <v>0</v>
      </c>
      <c r="Q26" s="18" t="n">
        <v>1.68428005</v>
      </c>
      <c r="R26" s="20" t="n">
        <v>0.77327561</v>
      </c>
    </row>
    <row r="27" spans="1:18">
      <c r="A27" s="15" t="s">
        <v>369</v>
      </c>
      <c r="B27" s="17" t="n">
        <v>2683</v>
      </c>
      <c r="C27" s="18">
        <f>(2369.0/B27*100)</f>
        <v/>
      </c>
      <c r="D27" s="19" t="n">
        <v>314</v>
      </c>
      <c r="E27" s="18" t="n">
        <v>30.78388217</v>
      </c>
      <c r="F27" s="20" t="n">
        <v>2.50854877</v>
      </c>
      <c r="G27" s="18" t="n">
        <v>66.33107672</v>
      </c>
      <c r="H27" s="20" t="n">
        <v>2.59753173</v>
      </c>
      <c r="I27" s="18" t="s">
        <v>349</v>
      </c>
      <c r="J27" s="20" t="s">
        <v>349</v>
      </c>
      <c r="K27" s="18" t="n">
        <v>0</v>
      </c>
      <c r="L27" s="20" t="n">
        <v>0</v>
      </c>
      <c r="M27" s="18" t="n">
        <v>0</v>
      </c>
      <c r="N27" s="20" t="n">
        <v>0</v>
      </c>
      <c r="O27" s="18" t="n">
        <v>0</v>
      </c>
      <c r="P27" s="20" t="n">
        <v>0</v>
      </c>
      <c r="Q27" s="18" t="n">
        <v>2.88504111</v>
      </c>
      <c r="R27" s="20" t="n">
        <v>0.97081317</v>
      </c>
    </row>
    <row r="28" spans="1:18">
      <c r="A28" s="15" t="s">
        <v>370</v>
      </c>
      <c r="B28" s="17" t="n">
        <v>3803</v>
      </c>
      <c r="C28" s="18">
        <f>(3321.0/B28*100)</f>
        <v/>
      </c>
      <c r="D28" s="19" t="n">
        <v>482</v>
      </c>
      <c r="E28" s="18" t="n">
        <v>55.7635922</v>
      </c>
      <c r="F28" s="20" t="n">
        <v>2.5875605</v>
      </c>
      <c r="G28" s="18" t="n">
        <v>41.25769502</v>
      </c>
      <c r="H28" s="20" t="n">
        <v>2.86635965</v>
      </c>
      <c r="I28" s="18" t="s">
        <v>349</v>
      </c>
      <c r="J28" s="20" t="s">
        <v>349</v>
      </c>
      <c r="K28" s="18" t="n">
        <v>0.49984796</v>
      </c>
      <c r="L28" s="20" t="n">
        <v>0.4586277</v>
      </c>
      <c r="M28" s="18" t="n">
        <v>0</v>
      </c>
      <c r="N28" s="20" t="n">
        <v>0</v>
      </c>
      <c r="O28" s="18" t="n">
        <v>0</v>
      </c>
      <c r="P28" s="20" t="n">
        <v>0</v>
      </c>
      <c r="Q28" s="18" t="n">
        <v>2.47886482</v>
      </c>
      <c r="R28" s="20" t="n">
        <v>0.80976226</v>
      </c>
    </row>
    <row r="29" spans="1:18">
      <c r="A29" s="15" t="s">
        <v>371</v>
      </c>
      <c r="B29" s="17" t="n">
        <v>2700</v>
      </c>
      <c r="C29" s="18">
        <f>(2367.0/B29*100)</f>
        <v/>
      </c>
      <c r="D29" s="19" t="n">
        <v>333</v>
      </c>
      <c r="E29" s="18" t="n">
        <v>35.12646506</v>
      </c>
      <c r="F29" s="20" t="n">
        <v>2.33335495</v>
      </c>
      <c r="G29" s="18" t="n">
        <v>62.88252432</v>
      </c>
      <c r="H29" s="20" t="n">
        <v>2.40914099</v>
      </c>
      <c r="I29" s="18" t="s">
        <v>349</v>
      </c>
      <c r="J29" s="20" t="s">
        <v>349</v>
      </c>
      <c r="K29" s="18" t="n">
        <v>0</v>
      </c>
      <c r="L29" s="20" t="n">
        <v>0</v>
      </c>
      <c r="M29" s="18" t="n">
        <v>0</v>
      </c>
      <c r="N29" s="20" t="n">
        <v>0</v>
      </c>
      <c r="O29" s="18" t="n">
        <v>0</v>
      </c>
      <c r="P29" s="20" t="n">
        <v>0</v>
      </c>
      <c r="Q29" s="18" t="n">
        <v>1.99101062</v>
      </c>
      <c r="R29" s="20" t="n">
        <v>0.77825901</v>
      </c>
    </row>
    <row r="30" spans="1:18">
      <c r="A30" s="15" t="s">
        <v>372</v>
      </c>
      <c r="B30" s="17" t="n">
        <v>2257</v>
      </c>
      <c r="C30" s="18">
        <f>(1980.0/B30*100)</f>
        <v/>
      </c>
      <c r="D30" s="19" t="n">
        <v>277</v>
      </c>
      <c r="E30" s="18" t="n">
        <v>35.66373715</v>
      </c>
      <c r="F30" s="20" t="n">
        <v>3.09363458</v>
      </c>
      <c r="G30" s="18" t="n">
        <v>61.62005806</v>
      </c>
      <c r="H30" s="20" t="n">
        <v>2.93087522</v>
      </c>
      <c r="I30" s="18" t="s">
        <v>349</v>
      </c>
      <c r="J30" s="20" t="s">
        <v>349</v>
      </c>
      <c r="K30" s="18" t="n">
        <v>0</v>
      </c>
      <c r="L30" s="20" t="n">
        <v>0</v>
      </c>
      <c r="M30" s="18" t="n">
        <v>0</v>
      </c>
      <c r="N30" s="20" t="n">
        <v>0</v>
      </c>
      <c r="O30" s="18" t="n">
        <v>0</v>
      </c>
      <c r="P30" s="20" t="n">
        <v>0</v>
      </c>
      <c r="Q30" s="18" t="n">
        <v>2.71620479</v>
      </c>
      <c r="R30" s="20" t="n">
        <v>1.23966587</v>
      </c>
    </row>
    <row r="31" spans="1:18">
      <c r="A31" s="15" t="s">
        <v>373</v>
      </c>
      <c r="B31" s="17" t="n">
        <v>2706</v>
      </c>
      <c r="C31" s="18">
        <f>(2365.0/B31*100)</f>
        <v/>
      </c>
      <c r="D31" s="19" t="n">
        <v>341</v>
      </c>
      <c r="E31" s="18" t="n">
        <v>29.74169539</v>
      </c>
      <c r="F31" s="20" t="n">
        <v>2.4716695</v>
      </c>
      <c r="G31" s="18" t="n">
        <v>66.43169879</v>
      </c>
      <c r="H31" s="20" t="n">
        <v>2.73370574</v>
      </c>
      <c r="I31" s="18" t="s">
        <v>349</v>
      </c>
      <c r="J31" s="20" t="s">
        <v>349</v>
      </c>
      <c r="K31" s="18" t="n">
        <v>0.29704898</v>
      </c>
      <c r="L31" s="20" t="n">
        <v>0.29576583</v>
      </c>
      <c r="M31" s="18" t="n">
        <v>0</v>
      </c>
      <c r="N31" s="20" t="n">
        <v>0</v>
      </c>
      <c r="O31" s="18" t="n">
        <v>0</v>
      </c>
      <c r="P31" s="20" t="n">
        <v>0</v>
      </c>
      <c r="Q31" s="18" t="n">
        <v>3.52955684</v>
      </c>
      <c r="R31" s="20" t="n">
        <v>0.8488275</v>
      </c>
    </row>
    <row r="32" spans="1:18">
      <c r="A32" s="15" t="s">
        <v>374</v>
      </c>
      <c r="B32" s="17" t="n">
        <v>2209</v>
      </c>
      <c r="C32" s="18">
        <f>(1858.0/B32*100)</f>
        <v/>
      </c>
      <c r="D32" s="19" t="n">
        <v>351</v>
      </c>
      <c r="E32" s="18" t="n">
        <v>41.0825713</v>
      </c>
      <c r="F32" s="20" t="n">
        <v>2.74729914</v>
      </c>
      <c r="G32" s="18" t="n">
        <v>58.09442059</v>
      </c>
      <c r="H32" s="20" t="n">
        <v>2.76920903</v>
      </c>
      <c r="I32" s="18" t="s">
        <v>349</v>
      </c>
      <c r="J32" s="20" t="s">
        <v>349</v>
      </c>
      <c r="K32" s="18" t="n">
        <v>0</v>
      </c>
      <c r="L32" s="20" t="n">
        <v>0</v>
      </c>
      <c r="M32" s="18" t="n">
        <v>0</v>
      </c>
      <c r="N32" s="20" t="n">
        <v>0</v>
      </c>
      <c r="O32" s="18" t="n">
        <v>0</v>
      </c>
      <c r="P32" s="20" t="n">
        <v>0</v>
      </c>
      <c r="Q32" s="18" t="n">
        <v>0.8230081</v>
      </c>
      <c r="R32" s="20" t="n">
        <v>0.54363902</v>
      </c>
    </row>
    <row r="33" spans="1:18">
      <c r="A33" s="15" t="s">
        <v>375</v>
      </c>
      <c r="B33" s="17" t="n">
        <v>3651</v>
      </c>
      <c r="C33" s="18">
        <f>(3190.0/B33*100)</f>
        <v/>
      </c>
      <c r="D33" s="19" t="n">
        <v>461</v>
      </c>
      <c r="E33" s="18" t="n">
        <v>37.18850671</v>
      </c>
      <c r="F33" s="20" t="n">
        <v>2.62806075</v>
      </c>
      <c r="G33" s="18" t="n">
        <v>58.90774674</v>
      </c>
      <c r="H33" s="20" t="n">
        <v>2.77084539</v>
      </c>
      <c r="I33" s="18" t="s">
        <v>349</v>
      </c>
      <c r="J33" s="20" t="s">
        <v>349</v>
      </c>
      <c r="K33" s="18" t="n">
        <v>0</v>
      </c>
      <c r="L33" s="20" t="n">
        <v>0</v>
      </c>
      <c r="M33" s="18" t="n">
        <v>0</v>
      </c>
      <c r="N33" s="20" t="n">
        <v>0</v>
      </c>
      <c r="O33" s="18" t="n">
        <v>0</v>
      </c>
      <c r="P33" s="20" t="n">
        <v>0</v>
      </c>
      <c r="Q33" s="18" t="n">
        <v>3.90374656</v>
      </c>
      <c r="R33" s="20" t="n">
        <v>1.19468538</v>
      </c>
    </row>
    <row r="34" spans="1:18">
      <c r="A34" s="15" t="s">
        <v>376</v>
      </c>
      <c r="B34" s="17" t="n">
        <v>3035</v>
      </c>
      <c r="C34" s="18">
        <f>(2686.0/B34*100)</f>
        <v/>
      </c>
      <c r="D34" s="19" t="n">
        <v>349</v>
      </c>
      <c r="E34" s="18" t="n">
        <v>34.58301872</v>
      </c>
      <c r="F34" s="20" t="n">
        <v>2.61384928</v>
      </c>
      <c r="G34" s="18" t="n">
        <v>63.25376487</v>
      </c>
      <c r="H34" s="20" t="n">
        <v>2.65131777</v>
      </c>
      <c r="I34" s="18" t="s">
        <v>349</v>
      </c>
      <c r="J34" s="20" t="s">
        <v>349</v>
      </c>
      <c r="K34" s="18" t="n">
        <v>0</v>
      </c>
      <c r="L34" s="20" t="n">
        <v>0</v>
      </c>
      <c r="M34" s="18" t="n">
        <v>0</v>
      </c>
      <c r="N34" s="20" t="n">
        <v>0</v>
      </c>
      <c r="O34" s="18" t="n">
        <v>0</v>
      </c>
      <c r="P34" s="20" t="n">
        <v>0</v>
      </c>
      <c r="Q34" s="18" t="n">
        <v>2.16321641</v>
      </c>
      <c r="R34" s="20" t="n">
        <v>0.8787793</v>
      </c>
    </row>
    <row r="35" spans="1:18">
      <c r="A35" s="15" t="s">
        <v>377</v>
      </c>
      <c r="B35" s="17" t="n">
        <v>2901</v>
      </c>
      <c r="C35" s="18">
        <f>(2566.0/B35*100)</f>
        <v/>
      </c>
      <c r="D35" s="19" t="n">
        <v>335</v>
      </c>
      <c r="E35" s="18" t="n">
        <v>32.71302464</v>
      </c>
      <c r="F35" s="20" t="n">
        <v>3.25823063</v>
      </c>
      <c r="G35" s="18" t="n">
        <v>64.40110126</v>
      </c>
      <c r="H35" s="20" t="n">
        <v>3.34762882</v>
      </c>
      <c r="I35" s="18" t="s">
        <v>349</v>
      </c>
      <c r="J35" s="20" t="s">
        <v>349</v>
      </c>
      <c r="K35" s="18" t="n">
        <v>0</v>
      </c>
      <c r="L35" s="20" t="n">
        <v>0</v>
      </c>
      <c r="M35" s="18" t="n">
        <v>0</v>
      </c>
      <c r="N35" s="20" t="n">
        <v>0</v>
      </c>
      <c r="O35" s="18" t="n">
        <v>0</v>
      </c>
      <c r="P35" s="20" t="n">
        <v>0</v>
      </c>
      <c r="Q35" s="18" t="n">
        <v>2.8858741</v>
      </c>
      <c r="R35" s="20" t="n">
        <v>0.84046265</v>
      </c>
    </row>
    <row r="36" spans="1:18">
      <c r="A36" s="15" t="s">
        <v>378</v>
      </c>
      <c r="B36" s="17" t="n">
        <v>3404</v>
      </c>
      <c r="C36" s="18">
        <f>(2996.0/B36*100)</f>
        <v/>
      </c>
      <c r="D36" s="19" t="n">
        <v>408</v>
      </c>
      <c r="E36" s="18" t="n">
        <v>39.22257777</v>
      </c>
      <c r="F36" s="20" t="n">
        <v>2.9111873</v>
      </c>
      <c r="G36" s="18" t="n">
        <v>56.40294868</v>
      </c>
      <c r="H36" s="20" t="n">
        <v>2.99209435</v>
      </c>
      <c r="I36" s="18" t="s">
        <v>349</v>
      </c>
      <c r="J36" s="20" t="s">
        <v>349</v>
      </c>
      <c r="K36" s="18" t="n">
        <v>0.40279239</v>
      </c>
      <c r="L36" s="20" t="n">
        <v>0.36385066</v>
      </c>
      <c r="M36" s="18" t="n">
        <v>0</v>
      </c>
      <c r="N36" s="20" t="n">
        <v>0</v>
      </c>
      <c r="O36" s="18" t="n">
        <v>0</v>
      </c>
      <c r="P36" s="20" t="n">
        <v>0</v>
      </c>
      <c r="Q36" s="18" t="n">
        <v>3.97168116</v>
      </c>
      <c r="R36" s="20" t="n">
        <v>1.07846977</v>
      </c>
    </row>
    <row r="37" spans="1:18">
      <c r="A37" s="15" t="s">
        <v>379</v>
      </c>
      <c r="B37" s="17" t="n">
        <v>2731</v>
      </c>
      <c r="C37" s="18">
        <f>(2384.0/B37*100)</f>
        <v/>
      </c>
      <c r="D37" s="19" t="n">
        <v>347</v>
      </c>
      <c r="E37" s="18" t="n">
        <v>31.99558133</v>
      </c>
      <c r="F37" s="20" t="n">
        <v>3.06753863</v>
      </c>
      <c r="G37" s="18" t="n">
        <v>62.77508896</v>
      </c>
      <c r="H37" s="20" t="n">
        <v>3.24077733</v>
      </c>
      <c r="I37" s="18" t="s">
        <v>349</v>
      </c>
      <c r="J37" s="20" t="s">
        <v>349</v>
      </c>
      <c r="K37" s="18" t="n">
        <v>0.27862789</v>
      </c>
      <c r="L37" s="20" t="n">
        <v>0.27573857</v>
      </c>
      <c r="M37" s="18" t="n">
        <v>0</v>
      </c>
      <c r="N37" s="20" t="n">
        <v>0</v>
      </c>
      <c r="O37" s="18" t="n">
        <v>0</v>
      </c>
      <c r="P37" s="20" t="n">
        <v>0</v>
      </c>
      <c r="Q37" s="18" t="n">
        <v>4.95070182</v>
      </c>
      <c r="R37" s="20" t="n">
        <v>1.21675993</v>
      </c>
    </row>
    <row r="38" spans="1:18">
      <c r="A38" s="15" t="s">
        <v>380</v>
      </c>
      <c r="B38" s="17" t="n">
        <v>2807</v>
      </c>
      <c r="C38" s="18">
        <f>(2325.0/B38*100)</f>
        <v/>
      </c>
      <c r="D38" s="19" t="n">
        <v>482</v>
      </c>
      <c r="E38" s="18" t="n">
        <v>28.50871459</v>
      </c>
      <c r="F38" s="20" t="n">
        <v>2.1287239</v>
      </c>
      <c r="G38" s="18" t="n">
        <v>68.82245098999999</v>
      </c>
      <c r="H38" s="20" t="n">
        <v>2.43551026</v>
      </c>
      <c r="I38" s="18" t="s">
        <v>349</v>
      </c>
      <c r="J38" s="20" t="s">
        <v>349</v>
      </c>
      <c r="K38" s="18" t="n">
        <v>0.17460915</v>
      </c>
      <c r="L38" s="20" t="n">
        <v>0.1739682</v>
      </c>
      <c r="M38" s="18" t="n">
        <v>0</v>
      </c>
      <c r="N38" s="20" t="n">
        <v>0</v>
      </c>
      <c r="O38" s="18" t="n">
        <v>0</v>
      </c>
      <c r="P38" s="20" t="n">
        <v>0</v>
      </c>
      <c r="Q38" s="18" t="n">
        <v>2.49422528</v>
      </c>
      <c r="R38" s="20" t="n">
        <v>0.732492</v>
      </c>
    </row>
    <row r="39" spans="1:18">
      <c r="A39" s="15" t="s">
        <v>381</v>
      </c>
      <c r="B39" s="17" t="n">
        <v>2938</v>
      </c>
      <c r="C39" s="18">
        <f>(2577.0/B39*100)</f>
        <v/>
      </c>
      <c r="D39" s="19" t="n">
        <v>361</v>
      </c>
      <c r="E39" s="18" t="n">
        <v>50.0593574</v>
      </c>
      <c r="F39" s="20" t="n">
        <v>2.84282368</v>
      </c>
      <c r="G39" s="18" t="n">
        <v>46.25068825</v>
      </c>
      <c r="H39" s="20" t="n">
        <v>3.1429751</v>
      </c>
      <c r="I39" s="18" t="s">
        <v>349</v>
      </c>
      <c r="J39" s="20" t="s">
        <v>349</v>
      </c>
      <c r="K39" s="18" t="n">
        <v>0</v>
      </c>
      <c r="L39" s="20" t="n">
        <v>0</v>
      </c>
      <c r="M39" s="18" t="n">
        <v>0</v>
      </c>
      <c r="N39" s="20" t="n">
        <v>0</v>
      </c>
      <c r="O39" s="18" t="n">
        <v>0</v>
      </c>
      <c r="P39" s="20" t="n">
        <v>0</v>
      </c>
      <c r="Q39" s="18" t="n">
        <v>3.68995435</v>
      </c>
      <c r="R39" s="20" t="n">
        <v>0.82840768</v>
      </c>
    </row>
    <row r="40" spans="1:18">
      <c r="A40" s="15" t="s">
        <v>382</v>
      </c>
      <c r="B40" s="17" t="n">
        <v>6922</v>
      </c>
      <c r="C40" s="18">
        <f>(6085.0/B40*100)</f>
        <v/>
      </c>
      <c r="D40" s="19" t="n">
        <v>837</v>
      </c>
      <c r="E40" s="18" t="n">
        <v>32.54318311</v>
      </c>
      <c r="F40" s="20" t="n">
        <v>2.24281649</v>
      </c>
      <c r="G40" s="18" t="n">
        <v>64.49217449</v>
      </c>
      <c r="H40" s="20" t="n">
        <v>2.54239356</v>
      </c>
      <c r="I40" s="18" t="s">
        <v>349</v>
      </c>
      <c r="J40" s="20" t="s">
        <v>349</v>
      </c>
      <c r="K40" s="18" t="n">
        <v>0.44052402</v>
      </c>
      <c r="L40" s="20" t="n">
        <v>0.4591894</v>
      </c>
      <c r="M40" s="18" t="n">
        <v>0</v>
      </c>
      <c r="N40" s="20" t="n">
        <v>0</v>
      </c>
      <c r="O40" s="18" t="n">
        <v>0</v>
      </c>
      <c r="P40" s="20" t="n">
        <v>0</v>
      </c>
      <c r="Q40" s="18" t="n">
        <v>2.52411838</v>
      </c>
      <c r="R40" s="20" t="n">
        <v>0.90137527</v>
      </c>
    </row>
    <row r="41" spans="1:18">
      <c r="A41" s="15" t="s">
        <v>383</v>
      </c>
      <c r="B41" s="17" t="n">
        <v>2854</v>
      </c>
      <c r="C41" s="18">
        <f>(2506.0/B41*100)</f>
        <v/>
      </c>
      <c r="D41" s="19" t="n">
        <v>348</v>
      </c>
      <c r="E41" s="18" t="n">
        <v>44.17087657</v>
      </c>
      <c r="F41" s="20" t="n">
        <v>3.1984603</v>
      </c>
      <c r="G41" s="18" t="n">
        <v>54.62528013</v>
      </c>
      <c r="H41" s="20" t="n">
        <v>3.27332916</v>
      </c>
      <c r="I41" s="18" t="s">
        <v>349</v>
      </c>
      <c r="J41" s="20" t="s">
        <v>349</v>
      </c>
      <c r="K41" s="18" t="n">
        <v>0.2865417</v>
      </c>
      <c r="L41" s="20" t="n">
        <v>0.26616281</v>
      </c>
      <c r="M41" s="18" t="n">
        <v>0</v>
      </c>
      <c r="N41" s="20" t="n">
        <v>0</v>
      </c>
      <c r="O41" s="18" t="n">
        <v>0</v>
      </c>
      <c r="P41" s="20" t="n">
        <v>0</v>
      </c>
      <c r="Q41" s="18" t="n">
        <v>0.9173016000000001</v>
      </c>
      <c r="R41" s="20" t="n">
        <v>0.4946747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(10715.0/B46*100)</f>
        <v/>
      </c>
      <c r="D46" s="19" t="n">
        <v>1358</v>
      </c>
      <c r="E46" s="18" t="n">
        <v>58.03571425</v>
      </c>
      <c r="F46" s="20" t="n">
        <v>2.03319929</v>
      </c>
      <c r="G46" s="18" t="n">
        <v>34.34857969</v>
      </c>
      <c r="H46" s="20" t="n">
        <v>1.99024912</v>
      </c>
      <c r="I46" s="18" t="s">
        <v>349</v>
      </c>
      <c r="J46" s="20" t="s">
        <v>349</v>
      </c>
      <c r="K46" s="18" t="n">
        <v>0.49228722</v>
      </c>
      <c r="L46" s="20" t="n">
        <v>0.25554212</v>
      </c>
      <c r="M46" s="18" t="n">
        <v>0</v>
      </c>
      <c r="N46" s="20" t="n">
        <v>0</v>
      </c>
      <c r="O46" s="18" t="n">
        <v>0</v>
      </c>
      <c r="P46" s="20" t="n">
        <v>0</v>
      </c>
      <c r="Q46" s="18" t="n">
        <v>7.12341884</v>
      </c>
      <c r="R46" s="20" t="n">
        <v>0.8439722200000001</v>
      </c>
    </row>
    <row r="47" spans="1:18">
      <c r="A47" s="15" t="s">
        <v>389</v>
      </c>
      <c r="B47" s="17" t="n">
        <v>2823</v>
      </c>
      <c r="C47" s="18">
        <f>(2478.0/B47*100)</f>
        <v/>
      </c>
      <c r="D47" s="19" t="n">
        <v>345</v>
      </c>
      <c r="E47" s="18" t="n">
        <v>38.10148674</v>
      </c>
      <c r="F47" s="20" t="n">
        <v>2.71638859</v>
      </c>
      <c r="G47" s="18" t="n">
        <v>55.45161241</v>
      </c>
      <c r="H47" s="20" t="n">
        <v>3.21297699</v>
      </c>
      <c r="I47" s="18" t="s">
        <v>349</v>
      </c>
      <c r="J47" s="20" t="s">
        <v>349</v>
      </c>
      <c r="K47" s="18" t="n">
        <v>0.54573821</v>
      </c>
      <c r="L47" s="20" t="n">
        <v>0.4752036</v>
      </c>
      <c r="M47" s="18" t="n">
        <v>0</v>
      </c>
      <c r="N47" s="20" t="n">
        <v>0</v>
      </c>
      <c r="O47" s="18" t="n">
        <v>0</v>
      </c>
      <c r="P47" s="20" t="n">
        <v>0</v>
      </c>
      <c r="Q47" s="18" t="n">
        <v>5.90116264</v>
      </c>
      <c r="R47" s="20" t="n">
        <v>1.33131775</v>
      </c>
    </row>
    <row r="48" spans="1:18">
      <c r="A48" s="15" t="s">
        <v>390</v>
      </c>
      <c r="B48" s="17" t="n">
        <v>4682</v>
      </c>
      <c r="C48" s="18">
        <f>(4108.0/B48*100)</f>
        <v/>
      </c>
      <c r="D48" s="19" t="n">
        <v>574</v>
      </c>
      <c r="E48" s="18" t="n">
        <v>34.25391925</v>
      </c>
      <c r="F48" s="20" t="n">
        <v>2.98789028</v>
      </c>
      <c r="G48" s="18" t="n">
        <v>63.99122634</v>
      </c>
      <c r="H48" s="20" t="n">
        <v>2.97556649</v>
      </c>
      <c r="I48" s="18" t="s">
        <v>349</v>
      </c>
      <c r="J48" s="20" t="s">
        <v>349</v>
      </c>
      <c r="K48" s="18" t="n">
        <v>0</v>
      </c>
      <c r="L48" s="20" t="n">
        <v>0</v>
      </c>
      <c r="M48" s="18" t="n">
        <v>0</v>
      </c>
      <c r="N48" s="20" t="n">
        <v>0</v>
      </c>
      <c r="O48" s="18" t="n">
        <v>0</v>
      </c>
      <c r="P48" s="20" t="n">
        <v>0</v>
      </c>
      <c r="Q48" s="18" t="n">
        <v>1.75485441</v>
      </c>
      <c r="R48" s="20" t="n">
        <v>0.80778693</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(5403.0/B50*100)</f>
        <v/>
      </c>
      <c r="D50" s="19" t="n">
        <v>755</v>
      </c>
      <c r="E50" s="18" t="n">
        <v>58.59883274</v>
      </c>
      <c r="F50" s="20" t="n">
        <v>2.44263669</v>
      </c>
      <c r="G50" s="18" t="n">
        <v>39.62802416</v>
      </c>
      <c r="H50" s="20" t="n">
        <v>2.49744131</v>
      </c>
      <c r="I50" s="18" t="s">
        <v>349</v>
      </c>
      <c r="J50" s="20" t="s">
        <v>349</v>
      </c>
      <c r="K50" s="18" t="n">
        <v>0.03185981</v>
      </c>
      <c r="L50" s="20" t="n">
        <v>0.03366426</v>
      </c>
      <c r="M50" s="18" t="n">
        <v>0</v>
      </c>
      <c r="N50" s="20" t="n">
        <v>0</v>
      </c>
      <c r="O50" s="18" t="n">
        <v>0</v>
      </c>
      <c r="P50" s="20" t="n">
        <v>0</v>
      </c>
      <c r="Q50" s="18" t="n">
        <v>1.74128329</v>
      </c>
      <c r="R50" s="20" t="n">
        <v>0.50617396</v>
      </c>
    </row>
    <row r="51" spans="1:18">
      <c r="A51" s="15" t="s">
        <v>393</v>
      </c>
      <c r="B51" s="17" t="n">
        <v>3494</v>
      </c>
      <c r="C51" s="18">
        <f>(3093.0/B51*100)</f>
        <v/>
      </c>
      <c r="D51" s="19" t="n">
        <v>401</v>
      </c>
      <c r="E51" s="18" t="n">
        <v>53.18546034</v>
      </c>
      <c r="F51" s="20" t="n">
        <v>2.80390188</v>
      </c>
      <c r="G51" s="18" t="n">
        <v>40.58643945</v>
      </c>
      <c r="H51" s="20" t="n">
        <v>2.60007301</v>
      </c>
      <c r="I51" s="18" t="s">
        <v>349</v>
      </c>
      <c r="J51" s="20" t="s">
        <v>349</v>
      </c>
      <c r="K51" s="18" t="n">
        <v>0</v>
      </c>
      <c r="L51" s="20" t="n">
        <v>0</v>
      </c>
      <c r="M51" s="18" t="n">
        <v>0</v>
      </c>
      <c r="N51" s="20" t="n">
        <v>0</v>
      </c>
      <c r="O51" s="18" t="n">
        <v>0</v>
      </c>
      <c r="P51" s="20" t="n">
        <v>0</v>
      </c>
      <c r="Q51" s="18" t="n">
        <v>6.22810021</v>
      </c>
      <c r="R51" s="20" t="n">
        <v>1.24687879</v>
      </c>
    </row>
    <row r="52" spans="1:18">
      <c r="A52" s="15" t="s">
        <v>394</v>
      </c>
      <c r="B52" s="17" t="n">
        <v>3013</v>
      </c>
      <c r="C52" s="18">
        <f>(2637.0/B52*100)</f>
        <v/>
      </c>
      <c r="D52" s="19" t="n">
        <v>376</v>
      </c>
      <c r="E52" s="18" t="n">
        <v>38.1617334</v>
      </c>
      <c r="F52" s="20" t="n">
        <v>2.50268029</v>
      </c>
      <c r="G52" s="18" t="n">
        <v>56.26085298</v>
      </c>
      <c r="H52" s="20" t="n">
        <v>2.79271738</v>
      </c>
      <c r="I52" s="18" t="s">
        <v>349</v>
      </c>
      <c r="J52" s="20" t="s">
        <v>349</v>
      </c>
      <c r="K52" s="18" t="n">
        <v>0</v>
      </c>
      <c r="L52" s="20" t="n">
        <v>0</v>
      </c>
      <c r="M52" s="18" t="n">
        <v>0</v>
      </c>
      <c r="N52" s="20" t="n">
        <v>0</v>
      </c>
      <c r="O52" s="18" t="n">
        <v>0</v>
      </c>
      <c r="P52" s="20" t="n">
        <v>0</v>
      </c>
      <c r="Q52" s="18" t="n">
        <v>5.57741362</v>
      </c>
      <c r="R52" s="20" t="n">
        <v>1.15021721</v>
      </c>
    </row>
    <row r="53" spans="1:18">
      <c r="A53" s="15" t="s">
        <v>395</v>
      </c>
      <c r="B53" s="17" t="n">
        <v>2760</v>
      </c>
      <c r="C53" s="18">
        <f>(2409.0/B53*100)</f>
        <v/>
      </c>
      <c r="D53" s="19" t="n">
        <v>351</v>
      </c>
      <c r="E53" s="18" t="n">
        <v>48.99507641</v>
      </c>
      <c r="F53" s="20" t="n">
        <v>3.25744651</v>
      </c>
      <c r="G53" s="18" t="n">
        <v>47.95865384</v>
      </c>
      <c r="H53" s="20" t="n">
        <v>3.17955375</v>
      </c>
      <c r="I53" s="18" t="s">
        <v>349</v>
      </c>
      <c r="J53" s="20" t="s">
        <v>349</v>
      </c>
      <c r="K53" s="18" t="n">
        <v>0.2049642</v>
      </c>
      <c r="L53" s="20" t="n">
        <v>0.20833527</v>
      </c>
      <c r="M53" s="18" t="n">
        <v>0</v>
      </c>
      <c r="N53" s="20" t="n">
        <v>0</v>
      </c>
      <c r="O53" s="18" t="n">
        <v>0</v>
      </c>
      <c r="P53" s="20" t="n">
        <v>0</v>
      </c>
      <c r="Q53" s="18" t="n">
        <v>2.84130555</v>
      </c>
      <c r="R53" s="20" t="n">
        <v>0.78210845</v>
      </c>
    </row>
    <row r="54" spans="1:18">
      <c r="A54" s="15" t="s">
        <v>396</v>
      </c>
      <c r="B54" s="17" t="n">
        <v>2474</v>
      </c>
      <c r="C54" s="18">
        <f>(2082.0/B54*100)</f>
        <v/>
      </c>
      <c r="D54" s="19" t="n">
        <v>392</v>
      </c>
      <c r="E54" s="18" t="n">
        <v>60.43341198</v>
      </c>
      <c r="F54" s="20" t="n">
        <v>2.75594261</v>
      </c>
      <c r="G54" s="18" t="n">
        <v>21.4984163</v>
      </c>
      <c r="H54" s="20" t="n">
        <v>2.4126682</v>
      </c>
      <c r="I54" s="18" t="s">
        <v>349</v>
      </c>
      <c r="J54" s="20" t="s">
        <v>349</v>
      </c>
      <c r="K54" s="18" t="n">
        <v>5.47684194</v>
      </c>
      <c r="L54" s="20" t="n">
        <v>1.4154449</v>
      </c>
      <c r="M54" s="18" t="n">
        <v>0</v>
      </c>
      <c r="N54" s="20" t="n">
        <v>0</v>
      </c>
      <c r="O54" s="18" t="n">
        <v>0</v>
      </c>
      <c r="P54" s="20" t="n">
        <v>0</v>
      </c>
      <c r="Q54" s="18" t="n">
        <v>12.59132978</v>
      </c>
      <c r="R54" s="20" t="n">
        <v>1.74059887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(2333.0/B56*100)</f>
        <v/>
      </c>
      <c r="D56" s="19" t="n">
        <v>342</v>
      </c>
      <c r="E56" s="18" t="n">
        <v>30.55428889</v>
      </c>
      <c r="F56" s="20" t="n">
        <v>2.3549189</v>
      </c>
      <c r="G56" s="18" t="n">
        <v>67.50104723</v>
      </c>
      <c r="H56" s="20" t="n">
        <v>2.53073476</v>
      </c>
      <c r="I56" s="18" t="s">
        <v>349</v>
      </c>
      <c r="J56" s="20" t="s">
        <v>349</v>
      </c>
      <c r="K56" s="18" t="n">
        <v>0.26719706</v>
      </c>
      <c r="L56" s="20" t="n">
        <v>0.29696224</v>
      </c>
      <c r="M56" s="18" t="n">
        <v>0</v>
      </c>
      <c r="N56" s="20" t="n">
        <v>0</v>
      </c>
      <c r="O56" s="18" t="n">
        <v>0</v>
      </c>
      <c r="P56" s="20" t="n">
        <v>0</v>
      </c>
      <c r="Q56" s="18" t="n">
        <v>1.67746683</v>
      </c>
      <c r="R56" s="20" t="n">
        <v>0.68689399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(2813.0/B61*100)</f>
        <v/>
      </c>
      <c r="D61" s="19" t="n">
        <v>388</v>
      </c>
      <c r="E61" s="18" t="n">
        <v>36.83249555</v>
      </c>
      <c r="F61" s="20" t="n">
        <v>2.80993505</v>
      </c>
      <c r="G61" s="18" t="n">
        <v>59.14957044</v>
      </c>
      <c r="H61" s="20" t="n">
        <v>2.81248315</v>
      </c>
      <c r="I61" s="18" t="s">
        <v>349</v>
      </c>
      <c r="J61" s="20" t="s">
        <v>349</v>
      </c>
      <c r="K61" s="18" t="n">
        <v>0</v>
      </c>
      <c r="L61" s="20" t="n">
        <v>0</v>
      </c>
      <c r="M61" s="18" t="n">
        <v>0</v>
      </c>
      <c r="N61" s="20" t="n">
        <v>0</v>
      </c>
      <c r="O61" s="18" t="n">
        <v>0</v>
      </c>
      <c r="P61" s="20" t="n">
        <v>0</v>
      </c>
      <c r="Q61" s="18" t="n">
        <v>4.01793401</v>
      </c>
      <c r="R61" s="20" t="n">
        <v>1.32718623</v>
      </c>
    </row>
    <row r="62" spans="1:18">
      <c r="A62" s="15" t="s">
        <v>404</v>
      </c>
      <c r="B62" s="17" t="n">
        <v>2230</v>
      </c>
      <c r="C62" s="18">
        <f>(1942.0/B62*100)</f>
        <v/>
      </c>
      <c r="D62" s="19" t="n">
        <v>288</v>
      </c>
      <c r="E62" s="18" t="n">
        <v>27.02973137</v>
      </c>
      <c r="F62" s="20" t="n">
        <v>2.55782317</v>
      </c>
      <c r="G62" s="18" t="n">
        <v>72.27959955999999</v>
      </c>
      <c r="H62" s="20" t="n">
        <v>2.52854205</v>
      </c>
      <c r="I62" s="18" t="s">
        <v>349</v>
      </c>
      <c r="J62" s="20" t="s">
        <v>349</v>
      </c>
      <c r="K62" s="18" t="n">
        <v>0</v>
      </c>
      <c r="L62" s="20" t="n">
        <v>0</v>
      </c>
      <c r="M62" s="18" t="n">
        <v>0</v>
      </c>
      <c r="N62" s="20" t="n">
        <v>0</v>
      </c>
      <c r="O62" s="18" t="n">
        <v>0</v>
      </c>
      <c r="P62" s="20" t="n">
        <v>0</v>
      </c>
      <c r="Q62" s="18" t="n">
        <v>0.69066907</v>
      </c>
      <c r="R62" s="20" t="n">
        <v>0.4867249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(2417.0/B66*100)</f>
        <v/>
      </c>
      <c r="D66" s="19" t="n">
        <v>354</v>
      </c>
      <c r="E66" s="18" t="n">
        <v>42.87370533</v>
      </c>
      <c r="F66" s="20" t="n">
        <v>2.47657723</v>
      </c>
      <c r="G66" s="18" t="n">
        <v>43.99937892</v>
      </c>
      <c r="H66" s="20" t="n">
        <v>2.34545272</v>
      </c>
      <c r="I66" s="18" t="s">
        <v>349</v>
      </c>
      <c r="J66" s="20" t="s">
        <v>349</v>
      </c>
      <c r="K66" s="18" t="n">
        <v>0</v>
      </c>
      <c r="L66" s="20" t="n">
        <v>0</v>
      </c>
      <c r="M66" s="18" t="n">
        <v>0</v>
      </c>
      <c r="N66" s="20" t="n">
        <v>0</v>
      </c>
      <c r="O66" s="18" t="n">
        <v>0</v>
      </c>
      <c r="P66" s="20" t="n">
        <v>0</v>
      </c>
      <c r="Q66" s="18" t="n">
        <v>13.12691576</v>
      </c>
      <c r="R66" s="20" t="n">
        <v>1.93866285</v>
      </c>
    </row>
    <row r="67" spans="1:18">
      <c r="A67" s="15" t="s">
        <v>409</v>
      </c>
      <c r="B67" s="17" t="n">
        <v>3460</v>
      </c>
      <c r="C67" s="18">
        <f>(3035.0/B67*100)</f>
        <v/>
      </c>
      <c r="D67" s="19" t="n">
        <v>425</v>
      </c>
      <c r="E67" s="18" t="n">
        <v>54.0178862</v>
      </c>
      <c r="F67" s="20" t="n">
        <v>2.51842845</v>
      </c>
      <c r="G67" s="18" t="n">
        <v>39.51820898</v>
      </c>
      <c r="H67" s="20" t="n">
        <v>2.54890895</v>
      </c>
      <c r="I67" s="18" t="s">
        <v>349</v>
      </c>
      <c r="J67" s="20" t="s">
        <v>349</v>
      </c>
      <c r="K67" s="18" t="n">
        <v>0</v>
      </c>
      <c r="L67" s="20" t="n">
        <v>0</v>
      </c>
      <c r="M67" s="18" t="n">
        <v>0</v>
      </c>
      <c r="N67" s="20" t="n">
        <v>0</v>
      </c>
      <c r="O67" s="18" t="n">
        <v>0</v>
      </c>
      <c r="P67" s="20" t="n">
        <v>0</v>
      </c>
      <c r="Q67" s="18" t="n">
        <v>6.46390482</v>
      </c>
      <c r="R67" s="20" t="n">
        <v>1.08380876</v>
      </c>
    </row>
    <row r="68" spans="1:18">
      <c r="A68" s="15" t="s">
        <v>410</v>
      </c>
      <c r="B68" s="17" t="n">
        <v>6034</v>
      </c>
      <c r="C68" s="18">
        <f>(5026.0/B68*100)</f>
        <v/>
      </c>
      <c r="D68" s="19" t="n">
        <v>1008</v>
      </c>
      <c r="E68" s="18" t="n">
        <v>62.18606146</v>
      </c>
      <c r="F68" s="20" t="n">
        <v>1.54294525</v>
      </c>
      <c r="G68" s="18" t="n">
        <v>32.38414726</v>
      </c>
      <c r="H68" s="20" t="n">
        <v>1.52900591</v>
      </c>
      <c r="I68" s="18" t="s">
        <v>349</v>
      </c>
      <c r="J68" s="20" t="s">
        <v>349</v>
      </c>
      <c r="K68" s="18" t="n">
        <v>0.3915731</v>
      </c>
      <c r="L68" s="20" t="n">
        <v>0.19610814</v>
      </c>
      <c r="M68" s="18" t="n">
        <v>0</v>
      </c>
      <c r="N68" s="20" t="n">
        <v>0</v>
      </c>
      <c r="O68" s="18" t="n">
        <v>0</v>
      </c>
      <c r="P68" s="20" t="n">
        <v>0</v>
      </c>
      <c r="Q68" s="18" t="n">
        <v>5.03821818</v>
      </c>
      <c r="R68" s="20" t="n">
        <v>0.59303062</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(2709.0/B70*100)</f>
        <v/>
      </c>
      <c r="D70" s="19" t="n">
        <v>398</v>
      </c>
      <c r="E70" s="18" t="n">
        <v>38.67012566</v>
      </c>
      <c r="F70" s="20" t="n">
        <v>3.02524044</v>
      </c>
      <c r="G70" s="18" t="n">
        <v>59.72334429</v>
      </c>
      <c r="H70" s="20" t="n">
        <v>3.06511114</v>
      </c>
      <c r="I70" s="18" t="s">
        <v>349</v>
      </c>
      <c r="J70" s="20" t="s">
        <v>349</v>
      </c>
      <c r="K70" s="18" t="n">
        <v>0</v>
      </c>
      <c r="L70" s="20" t="n">
        <v>0</v>
      </c>
      <c r="M70" s="18" t="n">
        <v>0</v>
      </c>
      <c r="N70" s="20" t="n">
        <v>0</v>
      </c>
      <c r="O70" s="18" t="n">
        <v>0</v>
      </c>
      <c r="P70" s="20" t="n">
        <v>0</v>
      </c>
      <c r="Q70" s="18" t="n">
        <v>1.60653005</v>
      </c>
      <c r="R70" s="20" t="n">
        <v>0.4687463</v>
      </c>
    </row>
    <row r="71" spans="1:18">
      <c r="A71" s="15" t="s">
        <v>413</v>
      </c>
      <c r="B71" s="17" t="n">
        <v>2973</v>
      </c>
      <c r="C71" s="18">
        <f>(2627.0/B71*100)</f>
        <v/>
      </c>
      <c r="D71" s="19" t="n">
        <v>346</v>
      </c>
      <c r="E71" s="18" t="n">
        <v>22.32755661</v>
      </c>
      <c r="F71" s="20" t="n">
        <v>2.40098198</v>
      </c>
      <c r="G71" s="18" t="n">
        <v>77.4368044</v>
      </c>
      <c r="H71" s="20" t="n">
        <v>2.38338582</v>
      </c>
      <c r="I71" s="18" t="s">
        <v>349</v>
      </c>
      <c r="J71" s="20" t="s">
        <v>349</v>
      </c>
      <c r="K71" s="18" t="n">
        <v>0</v>
      </c>
      <c r="L71" s="20" t="n">
        <v>0</v>
      </c>
      <c r="M71" s="18" t="n">
        <v>0</v>
      </c>
      <c r="N71" s="20" t="n">
        <v>0</v>
      </c>
      <c r="O71" s="18" t="n">
        <v>0</v>
      </c>
      <c r="P71" s="20" t="n">
        <v>0</v>
      </c>
      <c r="Q71" s="18" t="n">
        <v>0.23563899</v>
      </c>
      <c r="R71" s="20" t="n">
        <v>0.19804324</v>
      </c>
    </row>
    <row r="72" spans="1:18">
      <c r="A72" s="15" t="s">
        <v>414</v>
      </c>
      <c r="B72" s="17" t="n">
        <v>3819</v>
      </c>
      <c r="C72" s="18">
        <f>(3365.0/B72*100)</f>
        <v/>
      </c>
      <c r="D72" s="19" t="n">
        <v>454</v>
      </c>
      <c r="E72" s="18" t="n">
        <v>25.95973875</v>
      </c>
      <c r="F72" s="20" t="n">
        <v>2.13185302</v>
      </c>
      <c r="G72" s="18" t="n">
        <v>71.74981454</v>
      </c>
      <c r="H72" s="20" t="n">
        <v>2.38463609</v>
      </c>
      <c r="I72" s="18" t="s">
        <v>349</v>
      </c>
      <c r="J72" s="20" t="s">
        <v>349</v>
      </c>
      <c r="K72" s="18" t="n">
        <v>0</v>
      </c>
      <c r="L72" s="20" t="n">
        <v>0</v>
      </c>
      <c r="M72" s="18" t="n">
        <v>0</v>
      </c>
      <c r="N72" s="20" t="n">
        <v>0</v>
      </c>
      <c r="O72" s="18" t="n">
        <v>0</v>
      </c>
      <c r="P72" s="20" t="n">
        <v>0</v>
      </c>
      <c r="Q72" s="18" t="n">
        <v>2.2904467</v>
      </c>
      <c r="R72" s="20" t="n">
        <v>0.7481515</v>
      </c>
    </row>
    <row r="73" spans="1:18">
      <c r="A73" s="15" t="s">
        <v>415</v>
      </c>
      <c r="B73" s="17" t="n">
        <v>4652</v>
      </c>
      <c r="C73" s="18">
        <f>(4065.0/B73*100)</f>
        <v/>
      </c>
      <c r="D73" s="19" t="n">
        <v>587</v>
      </c>
      <c r="E73" s="18" t="n">
        <v>56.54988864</v>
      </c>
      <c r="F73" s="20" t="n">
        <v>2.6224233</v>
      </c>
      <c r="G73" s="18" t="n">
        <v>42.30848021</v>
      </c>
      <c r="H73" s="20" t="n">
        <v>2.61688398</v>
      </c>
      <c r="I73" s="18" t="s">
        <v>349</v>
      </c>
      <c r="J73" s="20" t="s">
        <v>349</v>
      </c>
      <c r="K73" s="18" t="n">
        <v>0.06040728</v>
      </c>
      <c r="L73" s="20" t="n">
        <v>0.06383007</v>
      </c>
      <c r="M73" s="18" t="n">
        <v>0</v>
      </c>
      <c r="N73" s="20" t="n">
        <v>0</v>
      </c>
      <c r="O73" s="18" t="n">
        <v>0</v>
      </c>
      <c r="P73" s="20" t="n">
        <v>0</v>
      </c>
      <c r="Q73" s="18" t="n">
        <v>1.08122387</v>
      </c>
      <c r="R73" s="20" t="n">
        <v>0.49091398</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(2643.0/B75*100)</f>
        <v/>
      </c>
      <c r="D75" s="19" t="n">
        <v>326</v>
      </c>
      <c r="E75" s="18" t="n">
        <v>64.21795397</v>
      </c>
      <c r="F75" s="20" t="n">
        <v>2.60608175</v>
      </c>
      <c r="G75" s="18" t="n">
        <v>27.39640197</v>
      </c>
      <c r="H75" s="20" t="n">
        <v>2.94847681</v>
      </c>
      <c r="I75" s="18" t="s">
        <v>349</v>
      </c>
      <c r="J75" s="20" t="s">
        <v>349</v>
      </c>
      <c r="K75" s="18" t="n">
        <v>0.8855769</v>
      </c>
      <c r="L75" s="20" t="n">
        <v>0.44943848</v>
      </c>
      <c r="M75" s="18" t="n">
        <v>0</v>
      </c>
      <c r="N75" s="20" t="n">
        <v>0</v>
      </c>
      <c r="O75" s="18" t="n">
        <v>0</v>
      </c>
      <c r="P75" s="20" t="n">
        <v>0</v>
      </c>
      <c r="Q75" s="18" t="n">
        <v>7.50006717</v>
      </c>
      <c r="R75" s="20" t="n">
        <v>1.69580578</v>
      </c>
    </row>
    <row r="76" spans="1:18">
      <c r="A76" s="15" t="s">
        <v>418</v>
      </c>
      <c r="B76" s="17" t="n">
        <v>7115</v>
      </c>
      <c r="C76" s="18">
        <f>(6257.0/B76*100)</f>
        <v/>
      </c>
      <c r="D76" s="19" t="n">
        <v>858</v>
      </c>
      <c r="E76" s="18" t="n">
        <v>59.65375189</v>
      </c>
      <c r="F76" s="20" t="n">
        <v>2.70687083</v>
      </c>
      <c r="G76" s="18" t="n">
        <v>37.96969135</v>
      </c>
      <c r="H76" s="20" t="n">
        <v>2.65844564</v>
      </c>
      <c r="I76" s="18" t="s">
        <v>349</v>
      </c>
      <c r="J76" s="20" t="s">
        <v>349</v>
      </c>
      <c r="K76" s="18" t="n">
        <v>0.46466228</v>
      </c>
      <c r="L76" s="20" t="n">
        <v>0.28711919</v>
      </c>
      <c r="M76" s="18" t="n">
        <v>0</v>
      </c>
      <c r="N76" s="20" t="n">
        <v>0</v>
      </c>
      <c r="O76" s="18" t="n">
        <v>0</v>
      </c>
      <c r="P76" s="20" t="n">
        <v>0</v>
      </c>
      <c r="Q76" s="18" t="n">
        <v>1.91189449</v>
      </c>
      <c r="R76" s="20" t="n">
        <v>0.61678256</v>
      </c>
    </row>
    <row r="77" spans="1:18">
      <c r="A77" s="15" t="s">
        <v>419</v>
      </c>
      <c r="B77" s="17" t="n">
        <v>3154</v>
      </c>
      <c r="C77" s="18">
        <f>(2791.0/B77*100)</f>
        <v/>
      </c>
      <c r="D77" s="19" t="n">
        <v>363</v>
      </c>
      <c r="E77" s="18" t="n">
        <v>41.4610338</v>
      </c>
      <c r="F77" s="20" t="n">
        <v>3.27984978</v>
      </c>
      <c r="G77" s="18" t="n">
        <v>51.12048857</v>
      </c>
      <c r="H77" s="20" t="n">
        <v>3.42650715</v>
      </c>
      <c r="I77" s="18" t="s">
        <v>349</v>
      </c>
      <c r="J77" s="20" t="s">
        <v>349</v>
      </c>
      <c r="K77" s="18" t="n">
        <v>0.36694819</v>
      </c>
      <c r="L77" s="20" t="n">
        <v>0.24888954</v>
      </c>
      <c r="M77" s="18" t="n">
        <v>0</v>
      </c>
      <c r="N77" s="20" t="n">
        <v>0</v>
      </c>
      <c r="O77" s="18" t="n">
        <v>0</v>
      </c>
      <c r="P77" s="20" t="n">
        <v>0</v>
      </c>
      <c r="Q77" s="18" t="n">
        <v>7.05152944</v>
      </c>
      <c r="R77" s="20" t="n">
        <v>1.61728412</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(4120.0/B81*100)</f>
        <v/>
      </c>
      <c r="D81" s="19" t="n">
        <v>578</v>
      </c>
      <c r="E81" s="18" t="n">
        <v>48.8289675</v>
      </c>
      <c r="F81" s="20" t="n">
        <v>2.60809004</v>
      </c>
      <c r="G81" s="18" t="n">
        <v>49.99022862</v>
      </c>
      <c r="H81" s="20" t="n">
        <v>2.61657454</v>
      </c>
      <c r="I81" s="18" t="s">
        <v>349</v>
      </c>
      <c r="J81" s="20" t="s">
        <v>349</v>
      </c>
      <c r="K81" s="18" t="n">
        <v>0.23550563</v>
      </c>
      <c r="L81" s="20" t="n">
        <v>0.23389442</v>
      </c>
      <c r="M81" s="18" t="n">
        <v>0</v>
      </c>
      <c r="N81" s="20" t="n">
        <v>0</v>
      </c>
      <c r="O81" s="18" t="n">
        <v>0</v>
      </c>
      <c r="P81" s="20" t="n">
        <v>0</v>
      </c>
      <c r="Q81" s="18" t="n">
        <v>0.94529824</v>
      </c>
      <c r="R81" s="20" t="n">
        <v>0.54293719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(6344.0/B7*100)</f>
        <v/>
      </c>
      <c r="D7" s="19" t="n">
        <v>819</v>
      </c>
      <c r="E7" s="18" t="n">
        <v>15.44383374</v>
      </c>
      <c r="F7" s="20" t="n">
        <v>1.53137309</v>
      </c>
      <c r="G7" s="18" t="n">
        <v>83.84038366</v>
      </c>
      <c r="H7" s="20" t="n">
        <v>1.58449119</v>
      </c>
      <c r="I7" s="18" t="s">
        <v>349</v>
      </c>
      <c r="J7" s="20" t="s">
        <v>349</v>
      </c>
      <c r="K7" s="18" t="n">
        <v>0.19385759</v>
      </c>
      <c r="L7" s="20" t="n">
        <v>0.18543941</v>
      </c>
      <c r="M7" s="18" t="n">
        <v>0</v>
      </c>
      <c r="N7" s="20" t="n">
        <v>0</v>
      </c>
      <c r="O7" s="18" t="n">
        <v>0</v>
      </c>
      <c r="P7" s="20" t="n">
        <v>0</v>
      </c>
      <c r="Q7" s="18" t="n">
        <v>0.52192501</v>
      </c>
      <c r="R7" s="20" t="n">
        <v>0.3429631</v>
      </c>
    </row>
    <row r="8" spans="1:18">
      <c r="A8" s="15" t="s">
        <v>350</v>
      </c>
      <c r="B8" s="17" t="n">
        <v>3443</v>
      </c>
      <c r="C8" s="18">
        <f>(3044.0/B8*100)</f>
        <v/>
      </c>
      <c r="D8" s="19" t="n">
        <v>399</v>
      </c>
      <c r="E8" s="18" t="n">
        <v>39.27788366</v>
      </c>
      <c r="F8" s="20" t="n">
        <v>2.75371722</v>
      </c>
      <c r="G8" s="18" t="n">
        <v>60.31322267</v>
      </c>
      <c r="H8" s="20" t="n">
        <v>2.73642028</v>
      </c>
      <c r="I8" s="18" t="s">
        <v>349</v>
      </c>
      <c r="J8" s="20" t="s">
        <v>349</v>
      </c>
      <c r="K8" s="18" t="n">
        <v>0</v>
      </c>
      <c r="L8" s="20" t="n">
        <v>0</v>
      </c>
      <c r="M8" s="18" t="n">
        <v>0</v>
      </c>
      <c r="N8" s="20" t="n">
        <v>0</v>
      </c>
      <c r="O8" s="18" t="n">
        <v>0</v>
      </c>
      <c r="P8" s="20" t="n">
        <v>0</v>
      </c>
      <c r="Q8" s="18" t="n">
        <v>0.40889368</v>
      </c>
      <c r="R8" s="20" t="n">
        <v>0.24853228</v>
      </c>
    </row>
    <row r="9" spans="1:18">
      <c r="A9" s="15" t="s">
        <v>351</v>
      </c>
      <c r="B9" s="17" t="n">
        <v>4752</v>
      </c>
      <c r="C9" s="18">
        <f>(4202.0/B9*100)</f>
        <v/>
      </c>
      <c r="D9" s="19" t="n">
        <v>550</v>
      </c>
      <c r="E9" s="18" t="n">
        <v>23.84151661</v>
      </c>
      <c r="F9" s="20" t="n">
        <v>2.15296147</v>
      </c>
      <c r="G9" s="18" t="n">
        <v>75.56586081</v>
      </c>
      <c r="H9" s="20" t="n">
        <v>2.14587094</v>
      </c>
      <c r="I9" s="18" t="s">
        <v>349</v>
      </c>
      <c r="J9" s="20" t="s">
        <v>349</v>
      </c>
      <c r="K9" s="18" t="n">
        <v>0</v>
      </c>
      <c r="L9" s="20" t="n">
        <v>0</v>
      </c>
      <c r="M9" s="18" t="n">
        <v>0</v>
      </c>
      <c r="N9" s="20" t="n">
        <v>0</v>
      </c>
      <c r="O9" s="18" t="n">
        <v>0</v>
      </c>
      <c r="P9" s="20" t="n">
        <v>0</v>
      </c>
      <c r="Q9" s="18" t="n">
        <v>0.59262257</v>
      </c>
      <c r="R9" s="20" t="n">
        <v>0.35787632</v>
      </c>
    </row>
    <row r="10" spans="1:18">
      <c r="A10" s="15" t="s">
        <v>352</v>
      </c>
      <c r="B10" s="17" t="n">
        <v>10022</v>
      </c>
      <c r="C10" s="18">
        <f>(8800.0/B10*100)</f>
        <v/>
      </c>
      <c r="D10" s="19" t="n">
        <v>1222</v>
      </c>
      <c r="E10" s="18" t="n">
        <v>21.50085084</v>
      </c>
      <c r="F10" s="20" t="n">
        <v>1.71085122</v>
      </c>
      <c r="G10" s="18" t="n">
        <v>78.18192174000001</v>
      </c>
      <c r="H10" s="20" t="n">
        <v>1.72430604</v>
      </c>
      <c r="I10" s="18" t="s">
        <v>349</v>
      </c>
      <c r="J10" s="20" t="s">
        <v>349</v>
      </c>
      <c r="K10" s="18" t="n">
        <v>0.00653155</v>
      </c>
      <c r="L10" s="20" t="n">
        <v>0.00633223</v>
      </c>
      <c r="M10" s="18" t="n">
        <v>0</v>
      </c>
      <c r="N10" s="20" t="n">
        <v>0</v>
      </c>
      <c r="O10" s="18" t="n">
        <v>0</v>
      </c>
      <c r="P10" s="20" t="n">
        <v>0</v>
      </c>
      <c r="Q10" s="18" t="n">
        <v>0.31069586</v>
      </c>
      <c r="R10" s="20" t="n">
        <v>0.20799701</v>
      </c>
    </row>
    <row r="11" spans="1:18">
      <c r="A11" s="15" t="s">
        <v>353</v>
      </c>
      <c r="B11" s="17" t="n">
        <v>3500</v>
      </c>
      <c r="C11" s="18">
        <f>(3084.0/B11*100)</f>
        <v/>
      </c>
      <c r="D11" s="19" t="n">
        <v>416</v>
      </c>
      <c r="E11" s="18" t="n">
        <v>31.15954483</v>
      </c>
      <c r="F11" s="20" t="n">
        <v>2.47624943</v>
      </c>
      <c r="G11" s="18" t="n">
        <v>68.19879562</v>
      </c>
      <c r="H11" s="20" t="n">
        <v>2.45898957</v>
      </c>
      <c r="I11" s="18" t="s">
        <v>349</v>
      </c>
      <c r="J11" s="20" t="s">
        <v>349</v>
      </c>
      <c r="K11" s="18" t="n">
        <v>0</v>
      </c>
      <c r="L11" s="20" t="n">
        <v>0</v>
      </c>
      <c r="M11" s="18" t="n">
        <v>0</v>
      </c>
      <c r="N11" s="20" t="n">
        <v>0</v>
      </c>
      <c r="O11" s="18" t="n">
        <v>0</v>
      </c>
      <c r="P11" s="20" t="n">
        <v>0</v>
      </c>
      <c r="Q11" s="18" t="n">
        <v>0.64165956</v>
      </c>
      <c r="R11" s="20" t="n">
        <v>0.45452084</v>
      </c>
    </row>
    <row r="12" spans="1:18">
      <c r="A12" s="15" t="s">
        <v>354</v>
      </c>
      <c r="B12" s="17" t="n">
        <v>3422</v>
      </c>
      <c r="C12" s="18">
        <f>(2987.0/B12*100)</f>
        <v/>
      </c>
      <c r="D12" s="19" t="n">
        <v>435</v>
      </c>
      <c r="E12" s="18" t="n">
        <v>32.59062845</v>
      </c>
      <c r="F12" s="20" t="n">
        <v>2.46460117</v>
      </c>
      <c r="G12" s="18" t="n">
        <v>67.19232252</v>
      </c>
      <c r="H12" s="20" t="n">
        <v>2.4483085</v>
      </c>
      <c r="I12" s="18" t="s">
        <v>349</v>
      </c>
      <c r="J12" s="20" t="s">
        <v>349</v>
      </c>
      <c r="K12" s="18" t="n">
        <v>0</v>
      </c>
      <c r="L12" s="20" t="n">
        <v>0</v>
      </c>
      <c r="M12" s="18" t="n">
        <v>0</v>
      </c>
      <c r="N12" s="20" t="n">
        <v>0</v>
      </c>
      <c r="O12" s="18" t="n">
        <v>0</v>
      </c>
      <c r="P12" s="20" t="n">
        <v>0</v>
      </c>
      <c r="Q12" s="18" t="n">
        <v>0.21704903</v>
      </c>
      <c r="R12" s="20" t="n">
        <v>0.22835562</v>
      </c>
    </row>
    <row r="13" spans="1:18">
      <c r="A13" s="15" t="s">
        <v>355</v>
      </c>
      <c r="B13" s="17" t="n">
        <v>3602</v>
      </c>
      <c r="C13" s="18">
        <f>(3174.0/B13*100)</f>
        <v/>
      </c>
      <c r="D13" s="19" t="n">
        <v>428</v>
      </c>
      <c r="E13" s="18" t="n">
        <v>16.50977614</v>
      </c>
      <c r="F13" s="20" t="n">
        <v>2.14104322</v>
      </c>
      <c r="G13" s="18" t="n">
        <v>83.01303172</v>
      </c>
      <c r="H13" s="20" t="n">
        <v>2.21083974</v>
      </c>
      <c r="I13" s="18" t="s">
        <v>349</v>
      </c>
      <c r="J13" s="20" t="s">
        <v>349</v>
      </c>
      <c r="K13" s="18" t="n">
        <v>0.16870847</v>
      </c>
      <c r="L13" s="20" t="n">
        <v>0.17294738</v>
      </c>
      <c r="M13" s="18" t="n">
        <v>0</v>
      </c>
      <c r="N13" s="20" t="n">
        <v>0</v>
      </c>
      <c r="O13" s="18" t="n">
        <v>0</v>
      </c>
      <c r="P13" s="20" t="n">
        <v>0</v>
      </c>
      <c r="Q13" s="18" t="n">
        <v>0.30848368</v>
      </c>
      <c r="R13" s="20" t="n">
        <v>0.20755849</v>
      </c>
    </row>
    <row r="14" spans="1:18">
      <c r="A14" s="15" t="s">
        <v>356</v>
      </c>
      <c r="B14" s="17" t="n">
        <v>2788</v>
      </c>
      <c r="C14" s="18">
        <f>(2435.0/B14*100)</f>
        <v/>
      </c>
      <c r="D14" s="19" t="n">
        <v>353</v>
      </c>
      <c r="E14" s="18" t="n">
        <v>15.93105376</v>
      </c>
      <c r="F14" s="20" t="n">
        <v>2.00774676</v>
      </c>
      <c r="G14" s="18" t="n">
        <v>84.06894624</v>
      </c>
      <c r="H14" s="20" t="n">
        <v>2.00774676</v>
      </c>
      <c r="I14" s="18" t="s">
        <v>349</v>
      </c>
      <c r="J14" s="20" t="s">
        <v>349</v>
      </c>
      <c r="K14" s="18" t="n">
        <v>0</v>
      </c>
      <c r="L14" s="20" t="n">
        <v>0</v>
      </c>
      <c r="M14" s="18" t="n">
        <v>0</v>
      </c>
      <c r="N14" s="20" t="n">
        <v>0</v>
      </c>
      <c r="O14" s="18" t="n">
        <v>0</v>
      </c>
      <c r="P14" s="20" t="n">
        <v>0</v>
      </c>
      <c r="Q14" s="18" t="n">
        <v>0</v>
      </c>
      <c r="R14" s="20" t="n">
        <v>0</v>
      </c>
    </row>
    <row r="15" spans="1:18">
      <c r="A15" s="15" t="s">
        <v>357</v>
      </c>
      <c r="B15" s="17" t="n">
        <v>2863</v>
      </c>
      <c r="C15" s="18">
        <f>(2508.0/B15*100)</f>
        <v/>
      </c>
      <c r="D15" s="19" t="n">
        <v>355</v>
      </c>
      <c r="E15" s="18" t="n">
        <v>20.79230729</v>
      </c>
      <c r="F15" s="20" t="n">
        <v>2.15539761</v>
      </c>
      <c r="G15" s="18" t="n">
        <v>78.93097692000001</v>
      </c>
      <c r="H15" s="20" t="n">
        <v>2.17655274</v>
      </c>
      <c r="I15" s="18" t="s">
        <v>349</v>
      </c>
      <c r="J15" s="20" t="s">
        <v>349</v>
      </c>
      <c r="K15" s="18" t="n">
        <v>0.27671579</v>
      </c>
      <c r="L15" s="20" t="n">
        <v>0.27209393</v>
      </c>
      <c r="M15" s="18" t="n">
        <v>0</v>
      </c>
      <c r="N15" s="20" t="n">
        <v>0</v>
      </c>
      <c r="O15" s="18" t="n">
        <v>0</v>
      </c>
      <c r="P15" s="20" t="n">
        <v>0</v>
      </c>
      <c r="Q15" s="18" t="n">
        <v>0</v>
      </c>
      <c r="R15" s="20" t="n">
        <v>0</v>
      </c>
    </row>
    <row r="16" spans="1:18">
      <c r="A16" s="15" t="s">
        <v>358</v>
      </c>
      <c r="B16" s="17" t="n">
        <v>3111</v>
      </c>
      <c r="C16" s="18">
        <f>(2724.0/B16*100)</f>
        <v/>
      </c>
      <c r="D16" s="19" t="n">
        <v>387</v>
      </c>
      <c r="E16" s="18" t="n">
        <v>19.41560753</v>
      </c>
      <c r="F16" s="20" t="n">
        <v>2.05107727</v>
      </c>
      <c r="G16" s="18" t="n">
        <v>79.24917357</v>
      </c>
      <c r="H16" s="20" t="n">
        <v>2.15080607</v>
      </c>
      <c r="I16" s="18" t="s">
        <v>349</v>
      </c>
      <c r="J16" s="20" t="s">
        <v>349</v>
      </c>
      <c r="K16" s="18" t="n">
        <v>0.47584208</v>
      </c>
      <c r="L16" s="20" t="n">
        <v>0.37636258</v>
      </c>
      <c r="M16" s="18" t="n">
        <v>0</v>
      </c>
      <c r="N16" s="20" t="n">
        <v>0</v>
      </c>
      <c r="O16" s="18" t="n">
        <v>0</v>
      </c>
      <c r="P16" s="20" t="n">
        <v>0</v>
      </c>
      <c r="Q16" s="18" t="n">
        <v>0.85937681</v>
      </c>
      <c r="R16" s="20" t="n">
        <v>0.4562739</v>
      </c>
    </row>
    <row r="17" spans="1:18">
      <c r="A17" s="15" t="s">
        <v>359</v>
      </c>
      <c r="B17" s="17" t="n">
        <v>3197</v>
      </c>
      <c r="C17" s="18">
        <f>(2820.0/B17*100)</f>
        <v/>
      </c>
      <c r="D17" s="19" t="n">
        <v>377</v>
      </c>
      <c r="E17" s="18" t="n">
        <v>19.33807283</v>
      </c>
      <c r="F17" s="20" t="n">
        <v>2.01755066</v>
      </c>
      <c r="G17" s="18" t="n">
        <v>80.37845213</v>
      </c>
      <c r="H17" s="20" t="n">
        <v>2.05546162</v>
      </c>
      <c r="I17" s="18" t="s">
        <v>349</v>
      </c>
      <c r="J17" s="20" t="s">
        <v>349</v>
      </c>
      <c r="K17" s="18" t="n">
        <v>0</v>
      </c>
      <c r="L17" s="20" t="n">
        <v>0</v>
      </c>
      <c r="M17" s="18" t="n">
        <v>0</v>
      </c>
      <c r="N17" s="20" t="n">
        <v>0</v>
      </c>
      <c r="O17" s="18" t="n">
        <v>0</v>
      </c>
      <c r="P17" s="20" t="n">
        <v>0</v>
      </c>
      <c r="Q17" s="18" t="n">
        <v>0.28347504</v>
      </c>
      <c r="R17" s="20" t="n">
        <v>0.27762573</v>
      </c>
    </row>
    <row r="18" spans="1:18">
      <c r="A18" s="15" t="s">
        <v>360</v>
      </c>
      <c r="B18" s="17" t="n">
        <v>2706</v>
      </c>
      <c r="C18" s="18">
        <f>(2338.0/B18*100)</f>
        <v/>
      </c>
      <c r="D18" s="19" t="n">
        <v>368</v>
      </c>
      <c r="E18" s="18" t="n">
        <v>14.91588594</v>
      </c>
      <c r="F18" s="20" t="n">
        <v>1.86706554</v>
      </c>
      <c r="G18" s="18" t="n">
        <v>84.15810618</v>
      </c>
      <c r="H18" s="20" t="n">
        <v>2.03741336</v>
      </c>
      <c r="I18" s="18" t="s">
        <v>349</v>
      </c>
      <c r="J18" s="20" t="s">
        <v>349</v>
      </c>
      <c r="K18" s="18" t="n">
        <v>0.7002871000000001</v>
      </c>
      <c r="L18" s="20" t="n">
        <v>0.69058967</v>
      </c>
      <c r="M18" s="18" t="n">
        <v>0</v>
      </c>
      <c r="N18" s="20" t="n">
        <v>0</v>
      </c>
      <c r="O18" s="18" t="n">
        <v>0</v>
      </c>
      <c r="P18" s="20" t="n">
        <v>0</v>
      </c>
      <c r="Q18" s="18" t="n">
        <v>0.22572078</v>
      </c>
      <c r="R18" s="20" t="n">
        <v>0.22302645</v>
      </c>
    </row>
    <row r="19" spans="1:18">
      <c r="A19" s="15" t="s">
        <v>361</v>
      </c>
      <c r="B19" s="17" t="n">
        <v>2850</v>
      </c>
      <c r="C19" s="18">
        <f>(2492.0/B19*100)</f>
        <v/>
      </c>
      <c r="D19" s="19" t="n">
        <v>358</v>
      </c>
      <c r="E19" s="18" t="n">
        <v>19.89306858</v>
      </c>
      <c r="F19" s="20" t="n">
        <v>2.45090106</v>
      </c>
      <c r="G19" s="18" t="n">
        <v>80.10693142</v>
      </c>
      <c r="H19" s="20" t="n">
        <v>2.45090106</v>
      </c>
      <c r="I19" s="18" t="s">
        <v>349</v>
      </c>
      <c r="J19" s="20" t="s">
        <v>349</v>
      </c>
      <c r="K19" s="18" t="n">
        <v>0</v>
      </c>
      <c r="L19" s="20" t="n">
        <v>0</v>
      </c>
      <c r="M19" s="18" t="n">
        <v>0</v>
      </c>
      <c r="N19" s="20" t="n">
        <v>0</v>
      </c>
      <c r="O19" s="18" t="n">
        <v>0</v>
      </c>
      <c r="P19" s="20" t="n">
        <v>0</v>
      </c>
      <c r="Q19" s="18" t="n">
        <v>0</v>
      </c>
      <c r="R19" s="20" t="n">
        <v>0</v>
      </c>
    </row>
    <row r="20" spans="1:18">
      <c r="A20" s="15" t="s">
        <v>362</v>
      </c>
      <c r="B20" s="17" t="n">
        <v>1741</v>
      </c>
      <c r="C20" s="18">
        <f>(1526.0/B20*100)</f>
        <v/>
      </c>
      <c r="D20" s="19" t="n">
        <v>215</v>
      </c>
      <c r="E20" s="18" t="n">
        <v>13.13590723</v>
      </c>
      <c r="F20" s="20" t="n">
        <v>2.21822737</v>
      </c>
      <c r="G20" s="18" t="n">
        <v>85.44858524999999</v>
      </c>
      <c r="H20" s="20" t="n">
        <v>2.14160061</v>
      </c>
      <c r="I20" s="18" t="s">
        <v>349</v>
      </c>
      <c r="J20" s="20" t="s">
        <v>349</v>
      </c>
      <c r="K20" s="18" t="n">
        <v>0</v>
      </c>
      <c r="L20" s="20" t="n">
        <v>0</v>
      </c>
      <c r="M20" s="18" t="n">
        <v>0</v>
      </c>
      <c r="N20" s="20" t="n">
        <v>0</v>
      </c>
      <c r="O20" s="18" t="n">
        <v>0</v>
      </c>
      <c r="P20" s="20" t="n">
        <v>0</v>
      </c>
      <c r="Q20" s="18" t="n">
        <v>1.41550752</v>
      </c>
      <c r="R20" s="20" t="n">
        <v>0.81575161</v>
      </c>
    </row>
    <row r="21" spans="1:18">
      <c r="A21" s="15" t="s">
        <v>363</v>
      </c>
      <c r="B21" s="17" t="n">
        <v>2833</v>
      </c>
      <c r="C21" s="18">
        <f>(2345.0/B21*100)</f>
        <v/>
      </c>
      <c r="D21" s="19" t="n">
        <v>488</v>
      </c>
      <c r="E21" s="18" t="n">
        <v>19.88467601</v>
      </c>
      <c r="F21" s="20" t="n">
        <v>1.92805285</v>
      </c>
      <c r="G21" s="18" t="n">
        <v>79.19874253</v>
      </c>
      <c r="H21" s="20" t="n">
        <v>1.89853614</v>
      </c>
      <c r="I21" s="18" t="s">
        <v>349</v>
      </c>
      <c r="J21" s="20" t="s">
        <v>349</v>
      </c>
      <c r="K21" s="18" t="n">
        <v>0</v>
      </c>
      <c r="L21" s="20" t="n">
        <v>0</v>
      </c>
      <c r="M21" s="18" t="n">
        <v>0</v>
      </c>
      <c r="N21" s="20" t="n">
        <v>0</v>
      </c>
      <c r="O21" s="18" t="n">
        <v>0</v>
      </c>
      <c r="P21" s="20" t="n">
        <v>0</v>
      </c>
      <c r="Q21" s="18" t="n">
        <v>0.91658147</v>
      </c>
      <c r="R21" s="20" t="n">
        <v>0.43175636</v>
      </c>
    </row>
    <row r="22" spans="1:18">
      <c r="A22" s="15" t="s">
        <v>364</v>
      </c>
      <c r="B22" s="17" t="n">
        <v>3667</v>
      </c>
      <c r="C22" s="18">
        <f>(3230.0/B22*100)</f>
        <v/>
      </c>
      <c r="D22" s="19" t="n">
        <v>437</v>
      </c>
      <c r="E22" s="18" t="n">
        <v>39.13740715</v>
      </c>
      <c r="F22" s="20" t="n">
        <v>2.85311398</v>
      </c>
      <c r="G22" s="18" t="n">
        <v>60.86259285</v>
      </c>
      <c r="H22" s="20" t="n">
        <v>2.85311398</v>
      </c>
      <c r="I22" s="18" t="s">
        <v>349</v>
      </c>
      <c r="J22" s="20" t="s">
        <v>349</v>
      </c>
      <c r="K22" s="18" t="n">
        <v>0</v>
      </c>
      <c r="L22" s="20" t="n">
        <v>0</v>
      </c>
      <c r="M22" s="18" t="n">
        <v>0</v>
      </c>
      <c r="N22" s="20" t="n">
        <v>0</v>
      </c>
      <c r="O22" s="18" t="n">
        <v>0</v>
      </c>
      <c r="P22" s="20" t="n">
        <v>0</v>
      </c>
      <c r="Q22" s="18" t="n">
        <v>0</v>
      </c>
      <c r="R22" s="20" t="n">
        <v>0</v>
      </c>
    </row>
    <row r="23" spans="1:18">
      <c r="A23" s="15" t="s">
        <v>365</v>
      </c>
      <c r="B23" s="17" t="n">
        <v>5792</v>
      </c>
      <c r="C23" s="18">
        <f>(5069.0/B23*100)</f>
        <v/>
      </c>
      <c r="D23" s="19" t="n">
        <v>723</v>
      </c>
      <c r="E23" s="18" t="n">
        <v>22.99055044</v>
      </c>
      <c r="F23" s="20" t="n">
        <v>2.52586427</v>
      </c>
      <c r="G23" s="18" t="n">
        <v>76.69435180000001</v>
      </c>
      <c r="H23" s="20" t="n">
        <v>2.58296235</v>
      </c>
      <c r="I23" s="18" t="s">
        <v>349</v>
      </c>
      <c r="J23" s="20" t="s">
        <v>349</v>
      </c>
      <c r="K23" s="18" t="n">
        <v>0</v>
      </c>
      <c r="L23" s="20" t="n">
        <v>0</v>
      </c>
      <c r="M23" s="18" t="n">
        <v>0</v>
      </c>
      <c r="N23" s="20" t="n">
        <v>0</v>
      </c>
      <c r="O23" s="18" t="n">
        <v>0</v>
      </c>
      <c r="P23" s="20" t="n">
        <v>0</v>
      </c>
      <c r="Q23" s="18" t="n">
        <v>0.31509776</v>
      </c>
      <c r="R23" s="20" t="n">
        <v>0.32206194</v>
      </c>
    </row>
    <row r="24" spans="1:18">
      <c r="A24" s="15" t="s">
        <v>366</v>
      </c>
      <c r="B24" s="17" t="n">
        <v>3309</v>
      </c>
      <c r="C24" s="18">
        <f>(2900.0/B24*100)</f>
        <v/>
      </c>
      <c r="D24" s="19" t="n">
        <v>409</v>
      </c>
      <c r="E24" s="18" t="n">
        <v>26.95355841</v>
      </c>
      <c r="F24" s="20" t="n">
        <v>1.82296051</v>
      </c>
      <c r="G24" s="18" t="n">
        <v>73.04644159</v>
      </c>
      <c r="H24" s="20" t="n">
        <v>1.82296051</v>
      </c>
      <c r="I24" s="18" t="s">
        <v>349</v>
      </c>
      <c r="J24" s="20" t="s">
        <v>349</v>
      </c>
      <c r="K24" s="18" t="n">
        <v>0</v>
      </c>
      <c r="L24" s="20" t="n">
        <v>0</v>
      </c>
      <c r="M24" s="18" t="n">
        <v>0</v>
      </c>
      <c r="N24" s="20" t="n">
        <v>0</v>
      </c>
      <c r="O24" s="18" t="n">
        <v>0</v>
      </c>
      <c r="P24" s="20" t="n">
        <v>0</v>
      </c>
      <c r="Q24" s="18" t="n">
        <v>0</v>
      </c>
      <c r="R24" s="20" t="n">
        <v>0</v>
      </c>
    </row>
    <row r="25" spans="1:18">
      <c r="A25" s="15" t="s">
        <v>367</v>
      </c>
      <c r="B25" s="17" t="n">
        <v>2669</v>
      </c>
      <c r="C25" s="18">
        <f>(2342.0/B25*100)</f>
        <v/>
      </c>
      <c r="D25" s="19" t="n">
        <v>327</v>
      </c>
      <c r="E25" s="18" t="n">
        <v>20.35830731</v>
      </c>
      <c r="F25" s="20" t="n">
        <v>2.33055096</v>
      </c>
      <c r="G25" s="18" t="n">
        <v>79.64169269</v>
      </c>
      <c r="H25" s="20" t="n">
        <v>2.33055096</v>
      </c>
      <c r="I25" s="18" t="s">
        <v>349</v>
      </c>
      <c r="J25" s="20" t="s">
        <v>349</v>
      </c>
      <c r="K25" s="18" t="n">
        <v>0</v>
      </c>
      <c r="L25" s="20" t="n">
        <v>0</v>
      </c>
      <c r="M25" s="18" t="n">
        <v>0</v>
      </c>
      <c r="N25" s="20" t="n">
        <v>0</v>
      </c>
      <c r="O25" s="18" t="n">
        <v>0</v>
      </c>
      <c r="P25" s="20" t="n">
        <v>0</v>
      </c>
      <c r="Q25" s="18" t="n">
        <v>0</v>
      </c>
      <c r="R25" s="20" t="n">
        <v>0</v>
      </c>
    </row>
    <row r="26" spans="1:18">
      <c r="A26" s="15" t="s">
        <v>368</v>
      </c>
      <c r="B26" s="17" t="n">
        <v>2419</v>
      </c>
      <c r="C26" s="18">
        <f>(2121.0/B26*100)</f>
        <v/>
      </c>
      <c r="D26" s="19" t="n">
        <v>298</v>
      </c>
      <c r="E26" s="18" t="n">
        <v>32.46584769</v>
      </c>
      <c r="F26" s="20" t="n">
        <v>2.80069905</v>
      </c>
      <c r="G26" s="18" t="n">
        <v>67.53415231</v>
      </c>
      <c r="H26" s="20" t="n">
        <v>2.80069905</v>
      </c>
      <c r="I26" s="18" t="s">
        <v>349</v>
      </c>
      <c r="J26" s="20" t="s">
        <v>349</v>
      </c>
      <c r="K26" s="18" t="n">
        <v>0</v>
      </c>
      <c r="L26" s="20" t="n">
        <v>0</v>
      </c>
      <c r="M26" s="18" t="n">
        <v>0</v>
      </c>
      <c r="N26" s="20" t="n">
        <v>0</v>
      </c>
      <c r="O26" s="18" t="n">
        <v>0</v>
      </c>
      <c r="P26" s="20" t="n">
        <v>0</v>
      </c>
      <c r="Q26" s="18" t="n">
        <v>0</v>
      </c>
      <c r="R26" s="20" t="n">
        <v>0</v>
      </c>
    </row>
    <row r="27" spans="1:18">
      <c r="A27" s="15" t="s">
        <v>369</v>
      </c>
      <c r="B27" s="17" t="n">
        <v>2683</v>
      </c>
      <c r="C27" s="18">
        <f>(2369.0/B27*100)</f>
        <v/>
      </c>
      <c r="D27" s="19" t="n">
        <v>314</v>
      </c>
      <c r="E27" s="18" t="n">
        <v>33.36630205</v>
      </c>
      <c r="F27" s="20" t="n">
        <v>3.25005202</v>
      </c>
      <c r="G27" s="18" t="n">
        <v>66.63369795</v>
      </c>
      <c r="H27" s="20" t="n">
        <v>3.25005202</v>
      </c>
      <c r="I27" s="18" t="s">
        <v>349</v>
      </c>
      <c r="J27" s="20" t="s">
        <v>349</v>
      </c>
      <c r="K27" s="18" t="n">
        <v>0</v>
      </c>
      <c r="L27" s="20" t="n">
        <v>0</v>
      </c>
      <c r="M27" s="18" t="n">
        <v>0</v>
      </c>
      <c r="N27" s="20" t="n">
        <v>0</v>
      </c>
      <c r="O27" s="18" t="n">
        <v>0</v>
      </c>
      <c r="P27" s="20" t="n">
        <v>0</v>
      </c>
      <c r="Q27" s="18" t="n">
        <v>0</v>
      </c>
      <c r="R27" s="20" t="n">
        <v>0</v>
      </c>
    </row>
    <row r="28" spans="1:18">
      <c r="A28" s="15" t="s">
        <v>370</v>
      </c>
      <c r="B28" s="17" t="n">
        <v>3803</v>
      </c>
      <c r="C28" s="18">
        <f>(3324.0/B28*100)</f>
        <v/>
      </c>
      <c r="D28" s="19" t="n">
        <v>479</v>
      </c>
      <c r="E28" s="18" t="n">
        <v>19.21496886</v>
      </c>
      <c r="F28" s="20" t="n">
        <v>2.07306869</v>
      </c>
      <c r="G28" s="18" t="n">
        <v>79.63044768</v>
      </c>
      <c r="H28" s="20" t="n">
        <v>2.26367653</v>
      </c>
      <c r="I28" s="18" t="s">
        <v>349</v>
      </c>
      <c r="J28" s="20" t="s">
        <v>349</v>
      </c>
      <c r="K28" s="18" t="n">
        <v>0.50240297</v>
      </c>
      <c r="L28" s="20" t="n">
        <v>0.46089547</v>
      </c>
      <c r="M28" s="18" t="n">
        <v>0</v>
      </c>
      <c r="N28" s="20" t="n">
        <v>0</v>
      </c>
      <c r="O28" s="18" t="n">
        <v>0</v>
      </c>
      <c r="P28" s="20" t="n">
        <v>0</v>
      </c>
      <c r="Q28" s="18" t="n">
        <v>0.65218049</v>
      </c>
      <c r="R28" s="20" t="n">
        <v>0.5188293899999999</v>
      </c>
    </row>
    <row r="29" spans="1:18">
      <c r="A29" s="15" t="s">
        <v>371</v>
      </c>
      <c r="B29" s="17" t="n">
        <v>2700</v>
      </c>
      <c r="C29" s="18">
        <f>(2367.0/B29*100)</f>
        <v/>
      </c>
      <c r="D29" s="19" t="n">
        <v>333</v>
      </c>
      <c r="E29" s="18" t="n">
        <v>18.37188864</v>
      </c>
      <c r="F29" s="20" t="n">
        <v>2.23651861</v>
      </c>
      <c r="G29" s="18" t="n">
        <v>81.35489376</v>
      </c>
      <c r="H29" s="20" t="n">
        <v>2.23266715</v>
      </c>
      <c r="I29" s="18" t="s">
        <v>349</v>
      </c>
      <c r="J29" s="20" t="s">
        <v>349</v>
      </c>
      <c r="K29" s="18" t="n">
        <v>0</v>
      </c>
      <c r="L29" s="20" t="n">
        <v>0</v>
      </c>
      <c r="M29" s="18" t="n">
        <v>0</v>
      </c>
      <c r="N29" s="20" t="n">
        <v>0</v>
      </c>
      <c r="O29" s="18" t="n">
        <v>0</v>
      </c>
      <c r="P29" s="20" t="n">
        <v>0</v>
      </c>
      <c r="Q29" s="18" t="n">
        <v>0.2732176</v>
      </c>
      <c r="R29" s="20" t="n">
        <v>0.27303795</v>
      </c>
    </row>
    <row r="30" spans="1:18">
      <c r="A30" s="15" t="s">
        <v>372</v>
      </c>
      <c r="B30" s="17" t="n">
        <v>2257</v>
      </c>
      <c r="C30" s="18">
        <f>(1980.0/B30*100)</f>
        <v/>
      </c>
      <c r="D30" s="19" t="n">
        <v>277</v>
      </c>
      <c r="E30" s="18" t="n">
        <v>11.83914284</v>
      </c>
      <c r="F30" s="20" t="n">
        <v>1.62242365</v>
      </c>
      <c r="G30" s="18" t="n">
        <v>87.53344581</v>
      </c>
      <c r="H30" s="20" t="n">
        <v>1.65552525</v>
      </c>
      <c r="I30" s="18" t="s">
        <v>349</v>
      </c>
      <c r="J30" s="20" t="s">
        <v>349</v>
      </c>
      <c r="K30" s="18" t="n">
        <v>0</v>
      </c>
      <c r="L30" s="20" t="n">
        <v>0</v>
      </c>
      <c r="M30" s="18" t="n">
        <v>0</v>
      </c>
      <c r="N30" s="20" t="n">
        <v>0</v>
      </c>
      <c r="O30" s="18" t="n">
        <v>0</v>
      </c>
      <c r="P30" s="20" t="n">
        <v>0</v>
      </c>
      <c r="Q30" s="18" t="n">
        <v>0.62741136</v>
      </c>
      <c r="R30" s="20" t="n">
        <v>0.4147288</v>
      </c>
    </row>
    <row r="31" spans="1:18">
      <c r="A31" s="15" t="s">
        <v>373</v>
      </c>
      <c r="B31" s="17" t="n">
        <v>2706</v>
      </c>
      <c r="C31" s="18">
        <f>(2365.0/B31*100)</f>
        <v/>
      </c>
      <c r="D31" s="19" t="n">
        <v>341</v>
      </c>
      <c r="E31" s="18" t="n">
        <v>13.59468252</v>
      </c>
      <c r="F31" s="20" t="n">
        <v>1.86575106</v>
      </c>
      <c r="G31" s="18" t="n">
        <v>85.80787235</v>
      </c>
      <c r="H31" s="20" t="n">
        <v>1.81484884</v>
      </c>
      <c r="I31" s="18" t="s">
        <v>349</v>
      </c>
      <c r="J31" s="20" t="s">
        <v>349</v>
      </c>
      <c r="K31" s="18" t="n">
        <v>0.29704898</v>
      </c>
      <c r="L31" s="20" t="n">
        <v>0.29576583</v>
      </c>
      <c r="M31" s="18" t="n">
        <v>0</v>
      </c>
      <c r="N31" s="20" t="n">
        <v>0</v>
      </c>
      <c r="O31" s="18" t="n">
        <v>0</v>
      </c>
      <c r="P31" s="20" t="n">
        <v>0</v>
      </c>
      <c r="Q31" s="18" t="n">
        <v>0.30039615</v>
      </c>
      <c r="R31" s="20" t="n">
        <v>0.28595869</v>
      </c>
    </row>
    <row r="32" spans="1:18">
      <c r="A32" s="15" t="s">
        <v>374</v>
      </c>
      <c r="B32" s="17" t="n">
        <v>2209</v>
      </c>
      <c r="C32" s="18">
        <f>(1858.0/B32*100)</f>
        <v/>
      </c>
      <c r="D32" s="19" t="n">
        <v>351</v>
      </c>
      <c r="E32" s="18" t="n">
        <v>21.31671473</v>
      </c>
      <c r="F32" s="20" t="n">
        <v>2.15805659</v>
      </c>
      <c r="G32" s="18" t="n">
        <v>78.68328527</v>
      </c>
      <c r="H32" s="20" t="n">
        <v>2.15805659</v>
      </c>
      <c r="I32" s="18" t="s">
        <v>349</v>
      </c>
      <c r="J32" s="20" t="s">
        <v>349</v>
      </c>
      <c r="K32" s="18" t="n">
        <v>0</v>
      </c>
      <c r="L32" s="20" t="n">
        <v>0</v>
      </c>
      <c r="M32" s="18" t="n">
        <v>0</v>
      </c>
      <c r="N32" s="20" t="n">
        <v>0</v>
      </c>
      <c r="O32" s="18" t="n">
        <v>0</v>
      </c>
      <c r="P32" s="20" t="n">
        <v>0</v>
      </c>
      <c r="Q32" s="18" t="n">
        <v>0</v>
      </c>
      <c r="R32" s="20" t="n">
        <v>0</v>
      </c>
    </row>
    <row r="33" spans="1:18">
      <c r="A33" s="15" t="s">
        <v>375</v>
      </c>
      <c r="B33" s="17" t="n">
        <v>3651</v>
      </c>
      <c r="C33" s="18">
        <f>(3191.0/B33*100)</f>
        <v/>
      </c>
      <c r="D33" s="19" t="n">
        <v>460</v>
      </c>
      <c r="E33" s="18" t="n">
        <v>31.52750887</v>
      </c>
      <c r="F33" s="20" t="n">
        <v>2.58675463</v>
      </c>
      <c r="G33" s="18" t="n">
        <v>67.81598357999999</v>
      </c>
      <c r="H33" s="20" t="n">
        <v>2.55504574</v>
      </c>
      <c r="I33" s="18" t="s">
        <v>349</v>
      </c>
      <c r="J33" s="20" t="s">
        <v>349</v>
      </c>
      <c r="K33" s="18" t="n">
        <v>0</v>
      </c>
      <c r="L33" s="20" t="n">
        <v>0</v>
      </c>
      <c r="M33" s="18" t="n">
        <v>0</v>
      </c>
      <c r="N33" s="20" t="n">
        <v>0</v>
      </c>
      <c r="O33" s="18" t="n">
        <v>0</v>
      </c>
      <c r="P33" s="20" t="n">
        <v>0</v>
      </c>
      <c r="Q33" s="18" t="n">
        <v>0.6565075500000001</v>
      </c>
      <c r="R33" s="20" t="n">
        <v>0.41689803</v>
      </c>
    </row>
    <row r="34" spans="1:18">
      <c r="A34" s="15" t="s">
        <v>376</v>
      </c>
      <c r="B34" s="17" t="n">
        <v>3035</v>
      </c>
      <c r="C34" s="18">
        <f>(2686.0/B34*100)</f>
        <v/>
      </c>
      <c r="D34" s="19" t="n">
        <v>349</v>
      </c>
      <c r="E34" s="18" t="n">
        <v>23.09157699</v>
      </c>
      <c r="F34" s="20" t="n">
        <v>2.41248255</v>
      </c>
      <c r="G34" s="18" t="n">
        <v>76.60860673000001</v>
      </c>
      <c r="H34" s="20" t="n">
        <v>2.41126936</v>
      </c>
      <c r="I34" s="18" t="s">
        <v>349</v>
      </c>
      <c r="J34" s="20" t="s">
        <v>349</v>
      </c>
      <c r="K34" s="18" t="n">
        <v>0</v>
      </c>
      <c r="L34" s="20" t="n">
        <v>0</v>
      </c>
      <c r="M34" s="18" t="n">
        <v>0</v>
      </c>
      <c r="N34" s="20" t="n">
        <v>0</v>
      </c>
      <c r="O34" s="18" t="n">
        <v>0</v>
      </c>
      <c r="P34" s="20" t="n">
        <v>0</v>
      </c>
      <c r="Q34" s="18" t="n">
        <v>0.29981628</v>
      </c>
      <c r="R34" s="20" t="n">
        <v>0.36983513</v>
      </c>
    </row>
    <row r="35" spans="1:18">
      <c r="A35" s="15" t="s">
        <v>377</v>
      </c>
      <c r="B35" s="17" t="n">
        <v>2901</v>
      </c>
      <c r="C35" s="18">
        <f>(2566.0/B35*100)</f>
        <v/>
      </c>
      <c r="D35" s="19" t="n">
        <v>335</v>
      </c>
      <c r="E35" s="18" t="n">
        <v>18.27325173</v>
      </c>
      <c r="F35" s="20" t="n">
        <v>2.31784854</v>
      </c>
      <c r="G35" s="18" t="n">
        <v>81.72674827</v>
      </c>
      <c r="H35" s="20" t="n">
        <v>2.31784854</v>
      </c>
      <c r="I35" s="18" t="s">
        <v>349</v>
      </c>
      <c r="J35" s="20" t="s">
        <v>349</v>
      </c>
      <c r="K35" s="18" t="n">
        <v>0</v>
      </c>
      <c r="L35" s="20" t="n">
        <v>0</v>
      </c>
      <c r="M35" s="18" t="n">
        <v>0</v>
      </c>
      <c r="N35" s="20" t="n">
        <v>0</v>
      </c>
      <c r="O35" s="18" t="n">
        <v>0</v>
      </c>
      <c r="P35" s="20" t="n">
        <v>0</v>
      </c>
      <c r="Q35" s="18" t="n">
        <v>0</v>
      </c>
      <c r="R35" s="20" t="n">
        <v>0</v>
      </c>
    </row>
    <row r="36" spans="1:18">
      <c r="A36" s="15" t="s">
        <v>378</v>
      </c>
      <c r="B36" s="17" t="n">
        <v>3404</v>
      </c>
      <c r="C36" s="18">
        <f>(2996.0/B36*100)</f>
        <v/>
      </c>
      <c r="D36" s="19" t="n">
        <v>408</v>
      </c>
      <c r="E36" s="18" t="n">
        <v>24.34825763</v>
      </c>
      <c r="F36" s="20" t="n">
        <v>2.51988895</v>
      </c>
      <c r="G36" s="18" t="n">
        <v>74.93857376</v>
      </c>
      <c r="H36" s="20" t="n">
        <v>2.60622678</v>
      </c>
      <c r="I36" s="18" t="s">
        <v>349</v>
      </c>
      <c r="J36" s="20" t="s">
        <v>349</v>
      </c>
      <c r="K36" s="18" t="n">
        <v>0.40279239</v>
      </c>
      <c r="L36" s="20" t="n">
        <v>0.36385066</v>
      </c>
      <c r="M36" s="18" t="n">
        <v>0</v>
      </c>
      <c r="N36" s="20" t="n">
        <v>0</v>
      </c>
      <c r="O36" s="18" t="n">
        <v>0</v>
      </c>
      <c r="P36" s="20" t="n">
        <v>0</v>
      </c>
      <c r="Q36" s="18" t="n">
        <v>0.31037621</v>
      </c>
      <c r="R36" s="20" t="n">
        <v>0.22147873</v>
      </c>
    </row>
    <row r="37" spans="1:18">
      <c r="A37" s="15" t="s">
        <v>379</v>
      </c>
      <c r="B37" s="17" t="n">
        <v>2731</v>
      </c>
      <c r="C37" s="18">
        <f>(2385.0/B37*100)</f>
        <v/>
      </c>
      <c r="D37" s="19" t="n">
        <v>346</v>
      </c>
      <c r="E37" s="18" t="n">
        <v>24.8383138</v>
      </c>
      <c r="F37" s="20" t="n">
        <v>2.19392299</v>
      </c>
      <c r="G37" s="18" t="n">
        <v>74.27995808</v>
      </c>
      <c r="H37" s="20" t="n">
        <v>2.2694595</v>
      </c>
      <c r="I37" s="18" t="s">
        <v>349</v>
      </c>
      <c r="J37" s="20" t="s">
        <v>349</v>
      </c>
      <c r="K37" s="18" t="n">
        <v>0.27932475</v>
      </c>
      <c r="L37" s="20" t="n">
        <v>0.27644837</v>
      </c>
      <c r="M37" s="18" t="n">
        <v>0</v>
      </c>
      <c r="N37" s="20" t="n">
        <v>0</v>
      </c>
      <c r="O37" s="18" t="n">
        <v>0</v>
      </c>
      <c r="P37" s="20" t="n">
        <v>0</v>
      </c>
      <c r="Q37" s="18" t="n">
        <v>0.6024033600000001</v>
      </c>
      <c r="R37" s="20" t="n">
        <v>0.41749882</v>
      </c>
    </row>
    <row r="38" spans="1:18">
      <c r="A38" s="15" t="s">
        <v>380</v>
      </c>
      <c r="B38" s="17" t="n">
        <v>2807</v>
      </c>
      <c r="C38" s="18">
        <f>(2325.0/B38*100)</f>
        <v/>
      </c>
      <c r="D38" s="19" t="n">
        <v>482</v>
      </c>
      <c r="E38" s="18" t="n">
        <v>21.99992835</v>
      </c>
      <c r="F38" s="20" t="n">
        <v>2.14287012</v>
      </c>
      <c r="G38" s="18" t="n">
        <v>77.82546250999999</v>
      </c>
      <c r="H38" s="20" t="n">
        <v>2.17580063</v>
      </c>
      <c r="I38" s="18" t="s">
        <v>349</v>
      </c>
      <c r="J38" s="20" t="s">
        <v>349</v>
      </c>
      <c r="K38" s="18" t="n">
        <v>0.17460915</v>
      </c>
      <c r="L38" s="20" t="n">
        <v>0.1739682</v>
      </c>
      <c r="M38" s="18" t="n">
        <v>0</v>
      </c>
      <c r="N38" s="20" t="n">
        <v>0</v>
      </c>
      <c r="O38" s="18" t="n">
        <v>0</v>
      </c>
      <c r="P38" s="20" t="n">
        <v>0</v>
      </c>
      <c r="Q38" s="18" t="n">
        <v>0</v>
      </c>
      <c r="R38" s="20" t="n">
        <v>0</v>
      </c>
    </row>
    <row r="39" spans="1:18">
      <c r="A39" s="15" t="s">
        <v>381</v>
      </c>
      <c r="B39" s="17" t="n">
        <v>2938</v>
      </c>
      <c r="C39" s="18">
        <f>(2577.0/B39*100)</f>
        <v/>
      </c>
      <c r="D39" s="19" t="n">
        <v>361</v>
      </c>
      <c r="E39" s="18" t="n">
        <v>23.25536544</v>
      </c>
      <c r="F39" s="20" t="n">
        <v>2.83721771</v>
      </c>
      <c r="G39" s="18" t="n">
        <v>75.86502788</v>
      </c>
      <c r="H39" s="20" t="n">
        <v>2.81216593</v>
      </c>
      <c r="I39" s="18" t="s">
        <v>349</v>
      </c>
      <c r="J39" s="20" t="s">
        <v>349</v>
      </c>
      <c r="K39" s="18" t="n">
        <v>0</v>
      </c>
      <c r="L39" s="20" t="n">
        <v>0</v>
      </c>
      <c r="M39" s="18" t="n">
        <v>0</v>
      </c>
      <c r="N39" s="20" t="n">
        <v>0</v>
      </c>
      <c r="O39" s="18" t="n">
        <v>0</v>
      </c>
      <c r="P39" s="20" t="n">
        <v>0</v>
      </c>
      <c r="Q39" s="18" t="n">
        <v>0.87960668</v>
      </c>
      <c r="R39" s="20" t="n">
        <v>0.50731536</v>
      </c>
    </row>
    <row r="40" spans="1:18">
      <c r="A40" s="15" t="s">
        <v>382</v>
      </c>
      <c r="B40" s="17" t="n">
        <v>6922</v>
      </c>
      <c r="C40" s="18">
        <f>(6084.0/B40*100)</f>
        <v/>
      </c>
      <c r="D40" s="19" t="n">
        <v>838</v>
      </c>
      <c r="E40" s="18" t="n">
        <v>20.87044487</v>
      </c>
      <c r="F40" s="20" t="n">
        <v>2.17487156</v>
      </c>
      <c r="G40" s="18" t="n">
        <v>78.34969492</v>
      </c>
      <c r="H40" s="20" t="n">
        <v>2.19206216</v>
      </c>
      <c r="I40" s="18" t="s">
        <v>349</v>
      </c>
      <c r="J40" s="20" t="s">
        <v>349</v>
      </c>
      <c r="K40" s="18" t="n">
        <v>0.43907895</v>
      </c>
      <c r="L40" s="20" t="n">
        <v>0.45765648</v>
      </c>
      <c r="M40" s="18" t="n">
        <v>0</v>
      </c>
      <c r="N40" s="20" t="n">
        <v>0</v>
      </c>
      <c r="O40" s="18" t="n">
        <v>0</v>
      </c>
      <c r="P40" s="20" t="n">
        <v>0</v>
      </c>
      <c r="Q40" s="18" t="n">
        <v>0.34078126</v>
      </c>
      <c r="R40" s="20" t="n">
        <v>0.28864126</v>
      </c>
    </row>
    <row r="41" spans="1:18">
      <c r="A41" s="15" t="s">
        <v>383</v>
      </c>
      <c r="B41" s="17" t="n">
        <v>2854</v>
      </c>
      <c r="C41" s="18">
        <f>(2506.0/B41*100)</f>
        <v/>
      </c>
      <c r="D41" s="19" t="n">
        <v>348</v>
      </c>
      <c r="E41" s="18" t="n">
        <v>33.48755023</v>
      </c>
      <c r="F41" s="20" t="n">
        <v>2.91277681</v>
      </c>
      <c r="G41" s="18" t="n">
        <v>66.22590807</v>
      </c>
      <c r="H41" s="20" t="n">
        <v>2.90786301</v>
      </c>
      <c r="I41" s="18" t="s">
        <v>349</v>
      </c>
      <c r="J41" s="20" t="s">
        <v>349</v>
      </c>
      <c r="K41" s="18" t="n">
        <v>0.2865417</v>
      </c>
      <c r="L41" s="20" t="n">
        <v>0.26616281</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(10728.0/B46*100)</f>
        <v/>
      </c>
      <c r="D46" s="19" t="n">
        <v>1345</v>
      </c>
      <c r="E46" s="18" t="n">
        <v>31.05555251</v>
      </c>
      <c r="F46" s="20" t="n">
        <v>1.70407137</v>
      </c>
      <c r="G46" s="18" t="n">
        <v>67.78317471</v>
      </c>
      <c r="H46" s="20" t="n">
        <v>1.72164017</v>
      </c>
      <c r="I46" s="18" t="s">
        <v>349</v>
      </c>
      <c r="J46" s="20" t="s">
        <v>349</v>
      </c>
      <c r="K46" s="18" t="n">
        <v>0.49799876</v>
      </c>
      <c r="L46" s="20" t="n">
        <v>0.25845969</v>
      </c>
      <c r="M46" s="18" t="n">
        <v>0</v>
      </c>
      <c r="N46" s="20" t="n">
        <v>0</v>
      </c>
      <c r="O46" s="18" t="n">
        <v>0</v>
      </c>
      <c r="P46" s="20" t="n">
        <v>0</v>
      </c>
      <c r="Q46" s="18" t="n">
        <v>0.66327402</v>
      </c>
      <c r="R46" s="20" t="n">
        <v>0.25216403</v>
      </c>
    </row>
    <row r="47" spans="1:18">
      <c r="A47" s="15" t="s">
        <v>389</v>
      </c>
      <c r="B47" s="17" t="n">
        <v>2823</v>
      </c>
      <c r="C47" s="18">
        <f>(2478.0/B47*100)</f>
        <v/>
      </c>
      <c r="D47" s="19" t="n">
        <v>345</v>
      </c>
      <c r="E47" s="18" t="n">
        <v>39.86079131</v>
      </c>
      <c r="F47" s="20" t="n">
        <v>2.96786152</v>
      </c>
      <c r="G47" s="18" t="n">
        <v>59.59347048</v>
      </c>
      <c r="H47" s="20" t="n">
        <v>3.00535057</v>
      </c>
      <c r="I47" s="18" t="s">
        <v>349</v>
      </c>
      <c r="J47" s="20" t="s">
        <v>349</v>
      </c>
      <c r="K47" s="18" t="n">
        <v>0.54573821</v>
      </c>
      <c r="L47" s="20" t="n">
        <v>0.4752036</v>
      </c>
      <c r="M47" s="18" t="n">
        <v>0</v>
      </c>
      <c r="N47" s="20" t="n">
        <v>0</v>
      </c>
      <c r="O47" s="18" t="n">
        <v>0</v>
      </c>
      <c r="P47" s="20" t="n">
        <v>0</v>
      </c>
      <c r="Q47" s="18" t="n">
        <v>0</v>
      </c>
      <c r="R47" s="20" t="n">
        <v>0</v>
      </c>
    </row>
    <row r="48" spans="1:18">
      <c r="A48" s="15" t="s">
        <v>390</v>
      </c>
      <c r="B48" s="17" t="n">
        <v>4682</v>
      </c>
      <c r="C48" s="18">
        <f>(4108.0/B48*100)</f>
        <v/>
      </c>
      <c r="D48" s="19" t="n">
        <v>574</v>
      </c>
      <c r="E48" s="18" t="n">
        <v>5.20265344</v>
      </c>
      <c r="F48" s="20" t="n">
        <v>1.01931967</v>
      </c>
      <c r="G48" s="18" t="n">
        <v>94.42714787</v>
      </c>
      <c r="H48" s="20" t="n">
        <v>1.0468016</v>
      </c>
      <c r="I48" s="18" t="s">
        <v>349</v>
      </c>
      <c r="J48" s="20" t="s">
        <v>349</v>
      </c>
      <c r="K48" s="18" t="n">
        <v>0</v>
      </c>
      <c r="L48" s="20" t="n">
        <v>0</v>
      </c>
      <c r="M48" s="18" t="n">
        <v>0</v>
      </c>
      <c r="N48" s="20" t="n">
        <v>0</v>
      </c>
      <c r="O48" s="18" t="n">
        <v>0</v>
      </c>
      <c r="P48" s="20" t="n">
        <v>0</v>
      </c>
      <c r="Q48" s="18" t="n">
        <v>0.37019869</v>
      </c>
      <c r="R48" s="20" t="n">
        <v>0.26981596</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(5405.0/B50*100)</f>
        <v/>
      </c>
      <c r="D50" s="19" t="n">
        <v>753</v>
      </c>
      <c r="E50" s="18" t="n">
        <v>31.58674672</v>
      </c>
      <c r="F50" s="20" t="n">
        <v>2.34118038</v>
      </c>
      <c r="G50" s="18" t="n">
        <v>67.51479648999999</v>
      </c>
      <c r="H50" s="20" t="n">
        <v>2.33965959</v>
      </c>
      <c r="I50" s="18" t="s">
        <v>349</v>
      </c>
      <c r="J50" s="20" t="s">
        <v>349</v>
      </c>
      <c r="K50" s="18" t="n">
        <v>0.06272498999999999</v>
      </c>
      <c r="L50" s="20" t="n">
        <v>0.04542789</v>
      </c>
      <c r="M50" s="18" t="n">
        <v>0</v>
      </c>
      <c r="N50" s="20" t="n">
        <v>0</v>
      </c>
      <c r="O50" s="18" t="n">
        <v>0</v>
      </c>
      <c r="P50" s="20" t="n">
        <v>0</v>
      </c>
      <c r="Q50" s="18" t="n">
        <v>0.83573181</v>
      </c>
      <c r="R50" s="20" t="n">
        <v>0.45576812</v>
      </c>
    </row>
    <row r="51" spans="1:18">
      <c r="A51" s="15" t="s">
        <v>393</v>
      </c>
      <c r="B51" s="17" t="n">
        <v>3494</v>
      </c>
      <c r="C51" s="18">
        <f>(3094.0/B51*100)</f>
        <v/>
      </c>
      <c r="D51" s="19" t="n">
        <v>400</v>
      </c>
      <c r="E51" s="18" t="n">
        <v>21.88186404</v>
      </c>
      <c r="F51" s="20" t="n">
        <v>2.19510294</v>
      </c>
      <c r="G51" s="18" t="n">
        <v>77.66385112</v>
      </c>
      <c r="H51" s="20" t="n">
        <v>2.20387703</v>
      </c>
      <c r="I51" s="18" t="s">
        <v>349</v>
      </c>
      <c r="J51" s="20" t="s">
        <v>349</v>
      </c>
      <c r="K51" s="18" t="n">
        <v>0</v>
      </c>
      <c r="L51" s="20" t="n">
        <v>0</v>
      </c>
      <c r="M51" s="18" t="n">
        <v>0</v>
      </c>
      <c r="N51" s="20" t="n">
        <v>0</v>
      </c>
      <c r="O51" s="18" t="n">
        <v>0</v>
      </c>
      <c r="P51" s="20" t="n">
        <v>0</v>
      </c>
      <c r="Q51" s="18" t="n">
        <v>0.45428484</v>
      </c>
      <c r="R51" s="20" t="n">
        <v>0.33114796</v>
      </c>
    </row>
    <row r="52" spans="1:18">
      <c r="A52" s="15" t="s">
        <v>394</v>
      </c>
      <c r="B52" s="17" t="n">
        <v>3013</v>
      </c>
      <c r="C52" s="18">
        <f>(2637.0/B52*100)</f>
        <v/>
      </c>
      <c r="D52" s="19" t="n">
        <v>376</v>
      </c>
      <c r="E52" s="18" t="n">
        <v>40.64696005</v>
      </c>
      <c r="F52" s="20" t="n">
        <v>2.97483927</v>
      </c>
      <c r="G52" s="18" t="n">
        <v>59.11087394</v>
      </c>
      <c r="H52" s="20" t="n">
        <v>3.00633552</v>
      </c>
      <c r="I52" s="18" t="s">
        <v>349</v>
      </c>
      <c r="J52" s="20" t="s">
        <v>349</v>
      </c>
      <c r="K52" s="18" t="n">
        <v>0</v>
      </c>
      <c r="L52" s="20" t="n">
        <v>0</v>
      </c>
      <c r="M52" s="18" t="n">
        <v>0</v>
      </c>
      <c r="N52" s="20" t="n">
        <v>0</v>
      </c>
      <c r="O52" s="18" t="n">
        <v>0</v>
      </c>
      <c r="P52" s="20" t="n">
        <v>0</v>
      </c>
      <c r="Q52" s="18" t="n">
        <v>0.24216601</v>
      </c>
      <c r="R52" s="20" t="n">
        <v>0.24505354</v>
      </c>
    </row>
    <row r="53" spans="1:18">
      <c r="A53" s="15" t="s">
        <v>395</v>
      </c>
      <c r="B53" s="17" t="n">
        <v>2760</v>
      </c>
      <c r="C53" s="18">
        <f>(2409.0/B53*100)</f>
        <v/>
      </c>
      <c r="D53" s="19" t="n">
        <v>351</v>
      </c>
      <c r="E53" s="18" t="n">
        <v>18.15426898</v>
      </c>
      <c r="F53" s="20" t="n">
        <v>2.29363241</v>
      </c>
      <c r="G53" s="18" t="n">
        <v>81.64076683</v>
      </c>
      <c r="H53" s="20" t="n">
        <v>2.26548553</v>
      </c>
      <c r="I53" s="18" t="s">
        <v>349</v>
      </c>
      <c r="J53" s="20" t="s">
        <v>349</v>
      </c>
      <c r="K53" s="18" t="n">
        <v>0.2049642</v>
      </c>
      <c r="L53" s="20" t="n">
        <v>0.20833527</v>
      </c>
      <c r="M53" s="18" t="n">
        <v>0</v>
      </c>
      <c r="N53" s="20" t="n">
        <v>0</v>
      </c>
      <c r="O53" s="18" t="n">
        <v>0</v>
      </c>
      <c r="P53" s="20" t="n">
        <v>0</v>
      </c>
      <c r="Q53" s="18" t="n">
        <v>0</v>
      </c>
      <c r="R53" s="20" t="n">
        <v>0</v>
      </c>
    </row>
    <row r="54" spans="1:18">
      <c r="A54" s="15" t="s">
        <v>396</v>
      </c>
      <c r="B54" s="17" t="n">
        <v>2474</v>
      </c>
      <c r="C54" s="18">
        <f>(2083.0/B54*100)</f>
        <v/>
      </c>
      <c r="D54" s="19" t="n">
        <v>391</v>
      </c>
      <c r="E54" s="18" t="n">
        <v>24.47237401</v>
      </c>
      <c r="F54" s="20" t="n">
        <v>2.22543538</v>
      </c>
      <c r="G54" s="18" t="n">
        <v>67.29411408</v>
      </c>
      <c r="H54" s="20" t="n">
        <v>2.26459164</v>
      </c>
      <c r="I54" s="18" t="s">
        <v>349</v>
      </c>
      <c r="J54" s="20" t="s">
        <v>349</v>
      </c>
      <c r="K54" s="18" t="n">
        <v>6.15547897</v>
      </c>
      <c r="L54" s="20" t="n">
        <v>1.47047709</v>
      </c>
      <c r="M54" s="18" t="n">
        <v>0</v>
      </c>
      <c r="N54" s="20" t="n">
        <v>0</v>
      </c>
      <c r="O54" s="18" t="n">
        <v>0</v>
      </c>
      <c r="P54" s="20" t="n">
        <v>0</v>
      </c>
      <c r="Q54" s="18" t="n">
        <v>2.07803294</v>
      </c>
      <c r="R54" s="20" t="n">
        <v>0.85942907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(2334.0/B56*100)</f>
        <v/>
      </c>
      <c r="D56" s="19" t="n">
        <v>341</v>
      </c>
      <c r="E56" s="18" t="n">
        <v>27.498753</v>
      </c>
      <c r="F56" s="20" t="n">
        <v>2.80908443</v>
      </c>
      <c r="G56" s="18" t="n">
        <v>71.04034815999999</v>
      </c>
      <c r="H56" s="20" t="n">
        <v>2.94833946</v>
      </c>
      <c r="I56" s="18" t="s">
        <v>349</v>
      </c>
      <c r="J56" s="20" t="s">
        <v>349</v>
      </c>
      <c r="K56" s="18" t="n">
        <v>0.26785943</v>
      </c>
      <c r="L56" s="20" t="n">
        <v>0.29770814</v>
      </c>
      <c r="M56" s="18" t="n">
        <v>0</v>
      </c>
      <c r="N56" s="20" t="n">
        <v>0</v>
      </c>
      <c r="O56" s="18" t="n">
        <v>0</v>
      </c>
      <c r="P56" s="20" t="n">
        <v>0</v>
      </c>
      <c r="Q56" s="18" t="n">
        <v>1.19303941</v>
      </c>
      <c r="R56" s="20" t="n">
        <v>0.63536538</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(2813.0/B61*100)</f>
        <v/>
      </c>
      <c r="D61" s="19" t="n">
        <v>388</v>
      </c>
      <c r="E61" s="18" t="n">
        <v>27.10652084</v>
      </c>
      <c r="F61" s="20" t="n">
        <v>2.77288425</v>
      </c>
      <c r="G61" s="18" t="n">
        <v>72.29637377</v>
      </c>
      <c r="H61" s="20" t="n">
        <v>2.74832287</v>
      </c>
      <c r="I61" s="18" t="s">
        <v>349</v>
      </c>
      <c r="J61" s="20" t="s">
        <v>349</v>
      </c>
      <c r="K61" s="18" t="n">
        <v>0</v>
      </c>
      <c r="L61" s="20" t="n">
        <v>0</v>
      </c>
      <c r="M61" s="18" t="n">
        <v>0</v>
      </c>
      <c r="N61" s="20" t="n">
        <v>0</v>
      </c>
      <c r="O61" s="18" t="n">
        <v>0</v>
      </c>
      <c r="P61" s="20" t="n">
        <v>0</v>
      </c>
      <c r="Q61" s="18" t="n">
        <v>0.59710539</v>
      </c>
      <c r="R61" s="20" t="n">
        <v>0.40259724</v>
      </c>
    </row>
    <row r="62" spans="1:18">
      <c r="A62" s="15" t="s">
        <v>404</v>
      </c>
      <c r="B62" s="17" t="n">
        <v>2230</v>
      </c>
      <c r="C62" s="18">
        <f>(1942.0/B62*100)</f>
        <v/>
      </c>
      <c r="D62" s="19" t="n">
        <v>288</v>
      </c>
      <c r="E62" s="18" t="n">
        <v>19.08583179</v>
      </c>
      <c r="F62" s="20" t="n">
        <v>2.2055626</v>
      </c>
      <c r="G62" s="18" t="n">
        <v>80.56883367</v>
      </c>
      <c r="H62" s="20" t="n">
        <v>2.19131242</v>
      </c>
      <c r="I62" s="18" t="s">
        <v>349</v>
      </c>
      <c r="J62" s="20" t="s">
        <v>349</v>
      </c>
      <c r="K62" s="18" t="n">
        <v>0</v>
      </c>
      <c r="L62" s="20" t="n">
        <v>0</v>
      </c>
      <c r="M62" s="18" t="n">
        <v>0</v>
      </c>
      <c r="N62" s="20" t="n">
        <v>0</v>
      </c>
      <c r="O62" s="18" t="n">
        <v>0</v>
      </c>
      <c r="P62" s="20" t="n">
        <v>0</v>
      </c>
      <c r="Q62" s="18" t="n">
        <v>0.34533454</v>
      </c>
      <c r="R62" s="20" t="n">
        <v>0.33920731</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(2418.0/B66*100)</f>
        <v/>
      </c>
      <c r="D66" s="19" t="n">
        <v>353</v>
      </c>
      <c r="E66" s="18" t="n">
        <v>44.48842666</v>
      </c>
      <c r="F66" s="20" t="n">
        <v>3.09248617</v>
      </c>
      <c r="G66" s="18" t="n">
        <v>54.78779853</v>
      </c>
      <c r="H66" s="20" t="n">
        <v>3.04769312</v>
      </c>
      <c r="I66" s="18" t="s">
        <v>349</v>
      </c>
      <c r="J66" s="20" t="s">
        <v>349</v>
      </c>
      <c r="K66" s="18" t="n">
        <v>0</v>
      </c>
      <c r="L66" s="20" t="n">
        <v>0</v>
      </c>
      <c r="M66" s="18" t="n">
        <v>0</v>
      </c>
      <c r="N66" s="20" t="n">
        <v>0</v>
      </c>
      <c r="O66" s="18" t="n">
        <v>0</v>
      </c>
      <c r="P66" s="20" t="n">
        <v>0</v>
      </c>
      <c r="Q66" s="18" t="n">
        <v>0.72377482</v>
      </c>
      <c r="R66" s="20" t="n">
        <v>0.42365032</v>
      </c>
    </row>
    <row r="67" spans="1:18">
      <c r="A67" s="15" t="s">
        <v>409</v>
      </c>
      <c r="B67" s="17" t="n">
        <v>3460</v>
      </c>
      <c r="C67" s="18">
        <f>(3039.0/B67*100)</f>
        <v/>
      </c>
      <c r="D67" s="19" t="n">
        <v>421</v>
      </c>
      <c r="E67" s="18" t="n">
        <v>39.71289461</v>
      </c>
      <c r="F67" s="20" t="n">
        <v>2.4928308</v>
      </c>
      <c r="G67" s="18" t="n">
        <v>58.6076954</v>
      </c>
      <c r="H67" s="20" t="n">
        <v>2.54808163</v>
      </c>
      <c r="I67" s="18" t="s">
        <v>349</v>
      </c>
      <c r="J67" s="20" t="s">
        <v>349</v>
      </c>
      <c r="K67" s="18" t="n">
        <v>0</v>
      </c>
      <c r="L67" s="20" t="n">
        <v>0</v>
      </c>
      <c r="M67" s="18" t="n">
        <v>0</v>
      </c>
      <c r="N67" s="20" t="n">
        <v>0</v>
      </c>
      <c r="O67" s="18" t="n">
        <v>0</v>
      </c>
      <c r="P67" s="20" t="n">
        <v>0</v>
      </c>
      <c r="Q67" s="18" t="n">
        <v>1.67940999</v>
      </c>
      <c r="R67" s="20" t="n">
        <v>0.65468293</v>
      </c>
    </row>
    <row r="68" spans="1:18">
      <c r="A68" s="15" t="s">
        <v>410</v>
      </c>
      <c r="B68" s="17" t="n">
        <v>6034</v>
      </c>
      <c r="C68" s="18">
        <f>(5027.0/B68*100)</f>
        <v/>
      </c>
      <c r="D68" s="19" t="n">
        <v>1007</v>
      </c>
      <c r="E68" s="18" t="n">
        <v>44.55080913</v>
      </c>
      <c r="F68" s="20" t="n">
        <v>1.62017515</v>
      </c>
      <c r="G68" s="18" t="n">
        <v>53.95962953</v>
      </c>
      <c r="H68" s="20" t="n">
        <v>1.60251431</v>
      </c>
      <c r="I68" s="18" t="s">
        <v>349</v>
      </c>
      <c r="J68" s="20" t="s">
        <v>349</v>
      </c>
      <c r="K68" s="18" t="n">
        <v>0.6833910399999999</v>
      </c>
      <c r="L68" s="20" t="n">
        <v>0.25868428</v>
      </c>
      <c r="M68" s="18" t="n">
        <v>0</v>
      </c>
      <c r="N68" s="20" t="n">
        <v>0</v>
      </c>
      <c r="O68" s="18" t="n">
        <v>0</v>
      </c>
      <c r="P68" s="20" t="n">
        <v>0</v>
      </c>
      <c r="Q68" s="18" t="n">
        <v>0.8061703099999999</v>
      </c>
      <c r="R68" s="20" t="n">
        <v>0.28288226</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(2710.0/B70*100)</f>
        <v/>
      </c>
      <c r="D70" s="19" t="n">
        <v>397</v>
      </c>
      <c r="E70" s="18" t="n">
        <v>29.07481344</v>
      </c>
      <c r="F70" s="20" t="n">
        <v>3.02445041</v>
      </c>
      <c r="G70" s="18" t="n">
        <v>70.92518656</v>
      </c>
      <c r="H70" s="20" t="n">
        <v>3.02445041</v>
      </c>
      <c r="I70" s="18" t="s">
        <v>349</v>
      </c>
      <c r="J70" s="20" t="s">
        <v>349</v>
      </c>
      <c r="K70" s="18" t="n">
        <v>0</v>
      </c>
      <c r="L70" s="20" t="n">
        <v>0</v>
      </c>
      <c r="M70" s="18" t="n">
        <v>0</v>
      </c>
      <c r="N70" s="20" t="n">
        <v>0</v>
      </c>
      <c r="O70" s="18" t="n">
        <v>0</v>
      </c>
      <c r="P70" s="20" t="n">
        <v>0</v>
      </c>
      <c r="Q70" s="18" t="n">
        <v>0</v>
      </c>
      <c r="R70" s="20" t="n">
        <v>0</v>
      </c>
    </row>
    <row r="71" spans="1:18">
      <c r="A71" s="15" t="s">
        <v>413</v>
      </c>
      <c r="B71" s="17" t="n">
        <v>2973</v>
      </c>
      <c r="C71" s="18">
        <f>(2627.0/B71*100)</f>
        <v/>
      </c>
      <c r="D71" s="19" t="n">
        <v>346</v>
      </c>
      <c r="E71" s="18" t="n">
        <v>18.44830893</v>
      </c>
      <c r="F71" s="20" t="n">
        <v>2.00579346</v>
      </c>
      <c r="G71" s="18" t="n">
        <v>81.16559062</v>
      </c>
      <c r="H71" s="20" t="n">
        <v>2.08180787</v>
      </c>
      <c r="I71" s="18" t="s">
        <v>349</v>
      </c>
      <c r="J71" s="20" t="s">
        <v>349</v>
      </c>
      <c r="K71" s="18" t="n">
        <v>0</v>
      </c>
      <c r="L71" s="20" t="n">
        <v>0</v>
      </c>
      <c r="M71" s="18" t="n">
        <v>0</v>
      </c>
      <c r="N71" s="20" t="n">
        <v>0</v>
      </c>
      <c r="O71" s="18" t="n">
        <v>0</v>
      </c>
      <c r="P71" s="20" t="n">
        <v>0</v>
      </c>
      <c r="Q71" s="18" t="n">
        <v>0.38610045</v>
      </c>
      <c r="R71" s="20" t="n">
        <v>0.38234209</v>
      </c>
    </row>
    <row r="72" spans="1:18">
      <c r="A72" s="15" t="s">
        <v>414</v>
      </c>
      <c r="B72" s="17" t="n">
        <v>3819</v>
      </c>
      <c r="C72" s="18">
        <f>(3365.0/B72*100)</f>
        <v/>
      </c>
      <c r="D72" s="19" t="n">
        <v>454</v>
      </c>
      <c r="E72" s="18" t="n">
        <v>13.29728999</v>
      </c>
      <c r="F72" s="20" t="n">
        <v>1.65517071</v>
      </c>
      <c r="G72" s="18" t="n">
        <v>86.70271001</v>
      </c>
      <c r="H72" s="20" t="n">
        <v>1.65517071</v>
      </c>
      <c r="I72" s="18" t="s">
        <v>349</v>
      </c>
      <c r="J72" s="20" t="s">
        <v>349</v>
      </c>
      <c r="K72" s="18" t="n">
        <v>0</v>
      </c>
      <c r="L72" s="20" t="n">
        <v>0</v>
      </c>
      <c r="M72" s="18" t="n">
        <v>0</v>
      </c>
      <c r="N72" s="20" t="n">
        <v>0</v>
      </c>
      <c r="O72" s="18" t="n">
        <v>0</v>
      </c>
      <c r="P72" s="20" t="n">
        <v>0</v>
      </c>
      <c r="Q72" s="18" t="n">
        <v>0</v>
      </c>
      <c r="R72" s="20" t="n">
        <v>0</v>
      </c>
    </row>
    <row r="73" spans="1:18">
      <c r="A73" s="15" t="s">
        <v>415</v>
      </c>
      <c r="B73" s="17" t="n">
        <v>4652</v>
      </c>
      <c r="C73" s="18">
        <f>(4068.0/B73*100)</f>
        <v/>
      </c>
      <c r="D73" s="19" t="n">
        <v>584</v>
      </c>
      <c r="E73" s="18" t="n">
        <v>30.39108323</v>
      </c>
      <c r="F73" s="20" t="n">
        <v>2.4668368</v>
      </c>
      <c r="G73" s="18" t="n">
        <v>69.20446502</v>
      </c>
      <c r="H73" s="20" t="n">
        <v>2.47290563</v>
      </c>
      <c r="I73" s="18" t="s">
        <v>349</v>
      </c>
      <c r="J73" s="20" t="s">
        <v>349</v>
      </c>
      <c r="K73" s="18" t="n">
        <v>0.06113995</v>
      </c>
      <c r="L73" s="20" t="n">
        <v>0.06462716</v>
      </c>
      <c r="M73" s="18" t="n">
        <v>0</v>
      </c>
      <c r="N73" s="20" t="n">
        <v>0</v>
      </c>
      <c r="O73" s="18" t="n">
        <v>0</v>
      </c>
      <c r="P73" s="20" t="n">
        <v>0</v>
      </c>
      <c r="Q73" s="18" t="n">
        <v>0.34331179</v>
      </c>
      <c r="R73" s="20" t="n">
        <v>0.26384467</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(2643.0/B75*100)</f>
        <v/>
      </c>
      <c r="D75" s="19" t="n">
        <v>326</v>
      </c>
      <c r="E75" s="18" t="n">
        <v>45.93400241</v>
      </c>
      <c r="F75" s="20" t="n">
        <v>2.7947356</v>
      </c>
      <c r="G75" s="18" t="n">
        <v>50.55743551</v>
      </c>
      <c r="H75" s="20" t="n">
        <v>3.02024046</v>
      </c>
      <c r="I75" s="18" t="s">
        <v>349</v>
      </c>
      <c r="J75" s="20" t="s">
        <v>349</v>
      </c>
      <c r="K75" s="18" t="n">
        <v>0.8855769</v>
      </c>
      <c r="L75" s="20" t="n">
        <v>0.44943848</v>
      </c>
      <c r="M75" s="18" t="n">
        <v>0</v>
      </c>
      <c r="N75" s="20" t="n">
        <v>0</v>
      </c>
      <c r="O75" s="18" t="n">
        <v>0</v>
      </c>
      <c r="P75" s="20" t="n">
        <v>0</v>
      </c>
      <c r="Q75" s="18" t="n">
        <v>2.62298518</v>
      </c>
      <c r="R75" s="20" t="n">
        <v>0.9869470299999999</v>
      </c>
    </row>
    <row r="76" spans="1:18">
      <c r="A76" s="15" t="s">
        <v>418</v>
      </c>
      <c r="B76" s="17" t="n">
        <v>7115</v>
      </c>
      <c r="C76" s="18">
        <f>(6257.0/B76*100)</f>
        <v/>
      </c>
      <c r="D76" s="19" t="n">
        <v>858</v>
      </c>
      <c r="E76" s="18" t="n">
        <v>34.64451929</v>
      </c>
      <c r="F76" s="20" t="n">
        <v>2.06064448</v>
      </c>
      <c r="G76" s="18" t="n">
        <v>64.21805682999999</v>
      </c>
      <c r="H76" s="20" t="n">
        <v>2.08022173</v>
      </c>
      <c r="I76" s="18" t="s">
        <v>349</v>
      </c>
      <c r="J76" s="20" t="s">
        <v>349</v>
      </c>
      <c r="K76" s="18" t="n">
        <v>0.46466228</v>
      </c>
      <c r="L76" s="20" t="n">
        <v>0.28711919</v>
      </c>
      <c r="M76" s="18" t="n">
        <v>0</v>
      </c>
      <c r="N76" s="20" t="n">
        <v>0</v>
      </c>
      <c r="O76" s="18" t="n">
        <v>0</v>
      </c>
      <c r="P76" s="20" t="n">
        <v>0</v>
      </c>
      <c r="Q76" s="18" t="n">
        <v>0.6727616</v>
      </c>
      <c r="R76" s="20" t="n">
        <v>0.36574021</v>
      </c>
    </row>
    <row r="77" spans="1:18">
      <c r="A77" s="15" t="s">
        <v>419</v>
      </c>
      <c r="B77" s="17" t="n">
        <v>3154</v>
      </c>
      <c r="C77" s="18">
        <f>(2792.0/B77*100)</f>
        <v/>
      </c>
      <c r="D77" s="19" t="n">
        <v>362</v>
      </c>
      <c r="E77" s="18" t="n">
        <v>28.32031053</v>
      </c>
      <c r="F77" s="20" t="n">
        <v>2.76016183</v>
      </c>
      <c r="G77" s="18" t="n">
        <v>71.11220063</v>
      </c>
      <c r="H77" s="20" t="n">
        <v>2.74506774</v>
      </c>
      <c r="I77" s="18" t="s">
        <v>349</v>
      </c>
      <c r="J77" s="20" t="s">
        <v>349</v>
      </c>
      <c r="K77" s="18" t="n">
        <v>0.36801683</v>
      </c>
      <c r="L77" s="20" t="n">
        <v>0.24966116</v>
      </c>
      <c r="M77" s="18" t="n">
        <v>0</v>
      </c>
      <c r="N77" s="20" t="n">
        <v>0</v>
      </c>
      <c r="O77" s="18" t="n">
        <v>0</v>
      </c>
      <c r="P77" s="20" t="n">
        <v>0</v>
      </c>
      <c r="Q77" s="18" t="n">
        <v>0.19947201</v>
      </c>
      <c r="R77" s="20" t="n">
        <v>0.20985388</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(4120.0/B81*100)</f>
        <v/>
      </c>
      <c r="D81" s="19" t="n">
        <v>578</v>
      </c>
      <c r="E81" s="18" t="n">
        <v>43.87539407</v>
      </c>
      <c r="F81" s="20" t="n">
        <v>2.28810203</v>
      </c>
      <c r="G81" s="18" t="n">
        <v>55.64137987</v>
      </c>
      <c r="H81" s="20" t="n">
        <v>2.29000098</v>
      </c>
      <c r="I81" s="18" t="s">
        <v>349</v>
      </c>
      <c r="J81" s="20" t="s">
        <v>349</v>
      </c>
      <c r="K81" s="18" t="n">
        <v>0.23550563</v>
      </c>
      <c r="L81" s="20" t="n">
        <v>0.23389442</v>
      </c>
      <c r="M81" s="18" t="n">
        <v>0</v>
      </c>
      <c r="N81" s="20" t="n">
        <v>0</v>
      </c>
      <c r="O81" s="18" t="n">
        <v>0</v>
      </c>
      <c r="P81" s="20" t="n">
        <v>0</v>
      </c>
      <c r="Q81" s="18" t="n">
        <v>0.24772042</v>
      </c>
      <c r="R81" s="20" t="n">
        <v>0.24813876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(6343.0/B7*100)</f>
        <v/>
      </c>
      <c r="D7" s="19" t="n">
        <v>820</v>
      </c>
      <c r="E7" s="18" t="n">
        <v>0</v>
      </c>
      <c r="F7" s="20" t="n">
        <v>0</v>
      </c>
      <c r="G7" s="18" t="n">
        <v>0</v>
      </c>
      <c r="H7" s="20" t="n">
        <v>0</v>
      </c>
      <c r="I7" s="18" t="s">
        <v>349</v>
      </c>
      <c r="J7" s="20" t="s">
        <v>349</v>
      </c>
      <c r="K7" s="18" t="n">
        <v>0</v>
      </c>
      <c r="L7" s="20" t="n">
        <v>0</v>
      </c>
      <c r="M7" s="18" t="n">
        <v>100</v>
      </c>
      <c r="N7" s="20" t="n">
        <v>0</v>
      </c>
      <c r="O7" s="18" t="n">
        <v>0</v>
      </c>
      <c r="P7" s="20" t="n">
        <v>0</v>
      </c>
      <c r="Q7" s="18" t="n">
        <v>0</v>
      </c>
      <c r="R7" s="20" t="n">
        <v>0</v>
      </c>
    </row>
    <row r="8" spans="1:18">
      <c r="A8" s="15" t="s">
        <v>350</v>
      </c>
      <c r="B8" s="17" t="n">
        <v>3443</v>
      </c>
      <c r="C8" s="18">
        <f>(3044.0/B8*100)</f>
        <v/>
      </c>
      <c r="D8" s="19" t="n">
        <v>399</v>
      </c>
      <c r="E8" s="18" t="n">
        <v>0</v>
      </c>
      <c r="F8" s="20" t="n">
        <v>0</v>
      </c>
      <c r="G8" s="18" t="n">
        <v>0</v>
      </c>
      <c r="H8" s="20" t="n">
        <v>0</v>
      </c>
      <c r="I8" s="18" t="s">
        <v>349</v>
      </c>
      <c r="J8" s="20" t="s">
        <v>349</v>
      </c>
      <c r="K8" s="18" t="n">
        <v>0</v>
      </c>
      <c r="L8" s="20" t="n">
        <v>0</v>
      </c>
      <c r="M8" s="18" t="n">
        <v>100</v>
      </c>
      <c r="N8" s="20" t="n">
        <v>0</v>
      </c>
      <c r="O8" s="18" t="n">
        <v>0</v>
      </c>
      <c r="P8" s="20" t="n">
        <v>0</v>
      </c>
      <c r="Q8" s="18" t="n">
        <v>0</v>
      </c>
      <c r="R8" s="20" t="n">
        <v>0</v>
      </c>
    </row>
    <row r="9" spans="1:18">
      <c r="A9" s="15" t="s">
        <v>351</v>
      </c>
      <c r="B9" s="17" t="n">
        <v>4752</v>
      </c>
      <c r="C9" s="18">
        <f>(4202.0/B9*100)</f>
        <v/>
      </c>
      <c r="D9" s="19" t="n">
        <v>550</v>
      </c>
      <c r="E9" s="18" t="n">
        <v>0</v>
      </c>
      <c r="F9" s="20" t="n">
        <v>0</v>
      </c>
      <c r="G9" s="18" t="n">
        <v>0</v>
      </c>
      <c r="H9" s="20" t="n">
        <v>0</v>
      </c>
      <c r="I9" s="18" t="s">
        <v>349</v>
      </c>
      <c r="J9" s="20" t="s">
        <v>349</v>
      </c>
      <c r="K9" s="18" t="n">
        <v>0</v>
      </c>
      <c r="L9" s="20" t="n">
        <v>0</v>
      </c>
      <c r="M9" s="18" t="n">
        <v>100</v>
      </c>
      <c r="N9" s="20" t="n">
        <v>0</v>
      </c>
      <c r="O9" s="18" t="n">
        <v>0</v>
      </c>
      <c r="P9" s="20" t="n">
        <v>0</v>
      </c>
      <c r="Q9" s="18" t="n">
        <v>0</v>
      </c>
      <c r="R9" s="20" t="n">
        <v>0</v>
      </c>
    </row>
    <row r="10" spans="1:18">
      <c r="A10" s="15" t="s">
        <v>352</v>
      </c>
      <c r="B10" s="17" t="n">
        <v>10022</v>
      </c>
      <c r="C10" s="18">
        <f>(8800.0/B10*100)</f>
        <v/>
      </c>
      <c r="D10" s="19" t="n">
        <v>1222</v>
      </c>
      <c r="E10" s="18" t="n">
        <v>0</v>
      </c>
      <c r="F10" s="20" t="n">
        <v>0</v>
      </c>
      <c r="G10" s="18" t="n">
        <v>0</v>
      </c>
      <c r="H10" s="20" t="n">
        <v>0</v>
      </c>
      <c r="I10" s="18" t="s">
        <v>349</v>
      </c>
      <c r="J10" s="20" t="s">
        <v>349</v>
      </c>
      <c r="K10" s="18" t="n">
        <v>0</v>
      </c>
      <c r="L10" s="20" t="n">
        <v>0</v>
      </c>
      <c r="M10" s="18" t="n">
        <v>100</v>
      </c>
      <c r="N10" s="20" t="n">
        <v>0</v>
      </c>
      <c r="O10" s="18" t="n">
        <v>0</v>
      </c>
      <c r="P10" s="20" t="n">
        <v>0</v>
      </c>
      <c r="Q10" s="18" t="n">
        <v>0</v>
      </c>
      <c r="R10" s="20" t="n">
        <v>0</v>
      </c>
    </row>
    <row r="11" spans="1:18">
      <c r="A11" s="15" t="s">
        <v>353</v>
      </c>
      <c r="B11" s="17" t="n">
        <v>3500</v>
      </c>
      <c r="C11" s="18">
        <f>(3084.0/B11*100)</f>
        <v/>
      </c>
      <c r="D11" s="19" t="n">
        <v>416</v>
      </c>
      <c r="E11" s="18" t="n">
        <v>0</v>
      </c>
      <c r="F11" s="20" t="n">
        <v>0</v>
      </c>
      <c r="G11" s="18" t="n">
        <v>0</v>
      </c>
      <c r="H11" s="20" t="n">
        <v>0</v>
      </c>
      <c r="I11" s="18" t="s">
        <v>349</v>
      </c>
      <c r="J11" s="20" t="s">
        <v>349</v>
      </c>
      <c r="K11" s="18" t="n">
        <v>0</v>
      </c>
      <c r="L11" s="20" t="n">
        <v>0</v>
      </c>
      <c r="M11" s="18" t="n">
        <v>100</v>
      </c>
      <c r="N11" s="20" t="n">
        <v>0</v>
      </c>
      <c r="O11" s="18" t="n">
        <v>0</v>
      </c>
      <c r="P11" s="20" t="n">
        <v>0</v>
      </c>
      <c r="Q11" s="18" t="n">
        <v>0</v>
      </c>
      <c r="R11" s="20" t="n">
        <v>0</v>
      </c>
    </row>
    <row r="12" spans="1:18">
      <c r="A12" s="15" t="s">
        <v>354</v>
      </c>
      <c r="B12" s="17" t="n">
        <v>3422</v>
      </c>
      <c r="C12" s="18">
        <f>(2987.0/B12*100)</f>
        <v/>
      </c>
      <c r="D12" s="19" t="n">
        <v>435</v>
      </c>
      <c r="E12" s="18" t="n">
        <v>0</v>
      </c>
      <c r="F12" s="20" t="n">
        <v>0</v>
      </c>
      <c r="G12" s="18" t="n">
        <v>0</v>
      </c>
      <c r="H12" s="20" t="n">
        <v>0</v>
      </c>
      <c r="I12" s="18" t="s">
        <v>349</v>
      </c>
      <c r="J12" s="20" t="s">
        <v>349</v>
      </c>
      <c r="K12" s="18" t="n">
        <v>0</v>
      </c>
      <c r="L12" s="20" t="n">
        <v>0</v>
      </c>
      <c r="M12" s="18" t="n">
        <v>100</v>
      </c>
      <c r="N12" s="20" t="n">
        <v>0</v>
      </c>
      <c r="O12" s="18" t="n">
        <v>0</v>
      </c>
      <c r="P12" s="20" t="n">
        <v>0</v>
      </c>
      <c r="Q12" s="18" t="n">
        <v>0</v>
      </c>
      <c r="R12" s="20" t="n">
        <v>0</v>
      </c>
    </row>
    <row r="13" spans="1:18">
      <c r="A13" s="15" t="s">
        <v>355</v>
      </c>
      <c r="B13" s="17" t="n">
        <v>3602</v>
      </c>
      <c r="C13" s="18">
        <f>(3174.0/B13*100)</f>
        <v/>
      </c>
      <c r="D13" s="19" t="n">
        <v>428</v>
      </c>
      <c r="E13" s="18" t="n">
        <v>0</v>
      </c>
      <c r="F13" s="20" t="n">
        <v>0</v>
      </c>
      <c r="G13" s="18" t="n">
        <v>0</v>
      </c>
      <c r="H13" s="20" t="n">
        <v>0</v>
      </c>
      <c r="I13" s="18" t="s">
        <v>349</v>
      </c>
      <c r="J13" s="20" t="s">
        <v>349</v>
      </c>
      <c r="K13" s="18" t="n">
        <v>0</v>
      </c>
      <c r="L13" s="20" t="n">
        <v>0</v>
      </c>
      <c r="M13" s="18" t="n">
        <v>100</v>
      </c>
      <c r="N13" s="20" t="n">
        <v>0</v>
      </c>
      <c r="O13" s="18" t="n">
        <v>0</v>
      </c>
      <c r="P13" s="20" t="n">
        <v>0</v>
      </c>
      <c r="Q13" s="18" t="n">
        <v>0</v>
      </c>
      <c r="R13" s="20" t="n">
        <v>0</v>
      </c>
    </row>
    <row r="14" spans="1:18">
      <c r="A14" s="15" t="s">
        <v>356</v>
      </c>
      <c r="B14" s="17" t="n">
        <v>2788</v>
      </c>
      <c r="C14" s="18">
        <f>(2435.0/B14*100)</f>
        <v/>
      </c>
      <c r="D14" s="19" t="n">
        <v>353</v>
      </c>
      <c r="E14" s="18" t="n">
        <v>0</v>
      </c>
      <c r="F14" s="20" t="n">
        <v>0</v>
      </c>
      <c r="G14" s="18" t="n">
        <v>0</v>
      </c>
      <c r="H14" s="20" t="n">
        <v>0</v>
      </c>
      <c r="I14" s="18" t="s">
        <v>349</v>
      </c>
      <c r="J14" s="20" t="s">
        <v>349</v>
      </c>
      <c r="K14" s="18" t="n">
        <v>0</v>
      </c>
      <c r="L14" s="20" t="n">
        <v>0</v>
      </c>
      <c r="M14" s="18" t="n">
        <v>100</v>
      </c>
      <c r="N14" s="20" t="n">
        <v>0</v>
      </c>
      <c r="O14" s="18" t="n">
        <v>0</v>
      </c>
      <c r="P14" s="20" t="n">
        <v>0</v>
      </c>
      <c r="Q14" s="18" t="n">
        <v>0</v>
      </c>
      <c r="R14" s="20" t="n">
        <v>0</v>
      </c>
    </row>
    <row r="15" spans="1:18">
      <c r="A15" s="15" t="s">
        <v>357</v>
      </c>
      <c r="B15" s="17" t="n">
        <v>2863</v>
      </c>
      <c r="C15" s="18">
        <f>(2508.0/B15*100)</f>
        <v/>
      </c>
      <c r="D15" s="19" t="n">
        <v>355</v>
      </c>
      <c r="E15" s="18" t="n">
        <v>0</v>
      </c>
      <c r="F15" s="20" t="n">
        <v>0</v>
      </c>
      <c r="G15" s="18" t="n">
        <v>0</v>
      </c>
      <c r="H15" s="20" t="n">
        <v>0</v>
      </c>
      <c r="I15" s="18" t="s">
        <v>349</v>
      </c>
      <c r="J15" s="20" t="s">
        <v>349</v>
      </c>
      <c r="K15" s="18" t="n">
        <v>0</v>
      </c>
      <c r="L15" s="20" t="n">
        <v>0</v>
      </c>
      <c r="M15" s="18" t="n">
        <v>100</v>
      </c>
      <c r="N15" s="20" t="n">
        <v>0</v>
      </c>
      <c r="O15" s="18" t="n">
        <v>0</v>
      </c>
      <c r="P15" s="20" t="n">
        <v>0</v>
      </c>
      <c r="Q15" s="18" t="n">
        <v>0</v>
      </c>
      <c r="R15" s="20" t="n">
        <v>0</v>
      </c>
    </row>
    <row r="16" spans="1:18">
      <c r="A16" s="15" t="s">
        <v>358</v>
      </c>
      <c r="B16" s="17" t="n">
        <v>3111</v>
      </c>
      <c r="C16" s="18">
        <f>(2724.0/B16*100)</f>
        <v/>
      </c>
      <c r="D16" s="19" t="n">
        <v>387</v>
      </c>
      <c r="E16" s="18" t="n">
        <v>0</v>
      </c>
      <c r="F16" s="20" t="n">
        <v>0</v>
      </c>
      <c r="G16" s="18" t="n">
        <v>0</v>
      </c>
      <c r="H16" s="20" t="n">
        <v>0</v>
      </c>
      <c r="I16" s="18" t="s">
        <v>349</v>
      </c>
      <c r="J16" s="20" t="s">
        <v>349</v>
      </c>
      <c r="K16" s="18" t="n">
        <v>0</v>
      </c>
      <c r="L16" s="20" t="n">
        <v>0</v>
      </c>
      <c r="M16" s="18" t="n">
        <v>100</v>
      </c>
      <c r="N16" s="20" t="n">
        <v>0</v>
      </c>
      <c r="O16" s="18" t="n">
        <v>0</v>
      </c>
      <c r="P16" s="20" t="n">
        <v>0</v>
      </c>
      <c r="Q16" s="18" t="n">
        <v>0</v>
      </c>
      <c r="R16" s="20" t="n">
        <v>0</v>
      </c>
    </row>
    <row r="17" spans="1:18">
      <c r="A17" s="15" t="s">
        <v>359</v>
      </c>
      <c r="B17" s="17" t="n">
        <v>3197</v>
      </c>
      <c r="C17" s="18">
        <f>(2820.0/B17*100)</f>
        <v/>
      </c>
      <c r="D17" s="19" t="n">
        <v>377</v>
      </c>
      <c r="E17" s="18" t="n">
        <v>0</v>
      </c>
      <c r="F17" s="20" t="n">
        <v>0</v>
      </c>
      <c r="G17" s="18" t="n">
        <v>0</v>
      </c>
      <c r="H17" s="20" t="n">
        <v>0</v>
      </c>
      <c r="I17" s="18" t="s">
        <v>349</v>
      </c>
      <c r="J17" s="20" t="s">
        <v>349</v>
      </c>
      <c r="K17" s="18" t="n">
        <v>0</v>
      </c>
      <c r="L17" s="20" t="n">
        <v>0</v>
      </c>
      <c r="M17" s="18" t="n">
        <v>100</v>
      </c>
      <c r="N17" s="20" t="n">
        <v>0</v>
      </c>
      <c r="O17" s="18" t="n">
        <v>0</v>
      </c>
      <c r="P17" s="20" t="n">
        <v>0</v>
      </c>
      <c r="Q17" s="18" t="n">
        <v>0</v>
      </c>
      <c r="R17" s="20" t="n">
        <v>0</v>
      </c>
    </row>
    <row r="18" spans="1:18">
      <c r="A18" s="15" t="s">
        <v>360</v>
      </c>
      <c r="B18" s="17" t="n">
        <v>2706</v>
      </c>
      <c r="C18" s="18">
        <f>(2338.0/B18*100)</f>
        <v/>
      </c>
      <c r="D18" s="19" t="n">
        <v>368</v>
      </c>
      <c r="E18" s="18" t="n">
        <v>0</v>
      </c>
      <c r="F18" s="20" t="n">
        <v>0</v>
      </c>
      <c r="G18" s="18" t="n">
        <v>0</v>
      </c>
      <c r="H18" s="20" t="n">
        <v>0</v>
      </c>
      <c r="I18" s="18" t="s">
        <v>349</v>
      </c>
      <c r="J18" s="20" t="s">
        <v>349</v>
      </c>
      <c r="K18" s="18" t="n">
        <v>0</v>
      </c>
      <c r="L18" s="20" t="n">
        <v>0</v>
      </c>
      <c r="M18" s="18" t="n">
        <v>100</v>
      </c>
      <c r="N18" s="20" t="n">
        <v>0</v>
      </c>
      <c r="O18" s="18" t="n">
        <v>0</v>
      </c>
      <c r="P18" s="20" t="n">
        <v>0</v>
      </c>
      <c r="Q18" s="18" t="n">
        <v>0</v>
      </c>
      <c r="R18" s="20" t="n">
        <v>0</v>
      </c>
    </row>
    <row r="19" spans="1:18">
      <c r="A19" s="15" t="s">
        <v>361</v>
      </c>
      <c r="B19" s="17" t="n">
        <v>2850</v>
      </c>
      <c r="C19" s="18">
        <f>(2493.0/B19*100)</f>
        <v/>
      </c>
      <c r="D19" s="19" t="n">
        <v>357</v>
      </c>
      <c r="E19" s="18" t="n">
        <v>0</v>
      </c>
      <c r="F19" s="20" t="n">
        <v>0</v>
      </c>
      <c r="G19" s="18" t="n">
        <v>0</v>
      </c>
      <c r="H19" s="20" t="n">
        <v>0</v>
      </c>
      <c r="I19" s="18" t="s">
        <v>349</v>
      </c>
      <c r="J19" s="20" t="s">
        <v>349</v>
      </c>
      <c r="K19" s="18" t="n">
        <v>0</v>
      </c>
      <c r="L19" s="20" t="n">
        <v>0</v>
      </c>
      <c r="M19" s="18" t="n">
        <v>100</v>
      </c>
      <c r="N19" s="20" t="n">
        <v>0</v>
      </c>
      <c r="O19" s="18" t="n">
        <v>0</v>
      </c>
      <c r="P19" s="20" t="n">
        <v>0</v>
      </c>
      <c r="Q19" s="18" t="n">
        <v>0</v>
      </c>
      <c r="R19" s="20" t="n">
        <v>0</v>
      </c>
    </row>
    <row r="20" spans="1:18">
      <c r="A20" s="15" t="s">
        <v>362</v>
      </c>
      <c r="B20" s="17" t="n">
        <v>1741</v>
      </c>
      <c r="C20" s="18">
        <f>(1526.0/B20*100)</f>
        <v/>
      </c>
      <c r="D20" s="19" t="n">
        <v>215</v>
      </c>
      <c r="E20" s="18" t="n">
        <v>0</v>
      </c>
      <c r="F20" s="20" t="n">
        <v>0</v>
      </c>
      <c r="G20" s="18" t="n">
        <v>0</v>
      </c>
      <c r="H20" s="20" t="n">
        <v>0</v>
      </c>
      <c r="I20" s="18" t="s">
        <v>349</v>
      </c>
      <c r="J20" s="20" t="s">
        <v>349</v>
      </c>
      <c r="K20" s="18" t="n">
        <v>0</v>
      </c>
      <c r="L20" s="20" t="n">
        <v>0</v>
      </c>
      <c r="M20" s="18" t="n">
        <v>100</v>
      </c>
      <c r="N20" s="20" t="n">
        <v>0</v>
      </c>
      <c r="O20" s="18" t="n">
        <v>0</v>
      </c>
      <c r="P20" s="20" t="n">
        <v>0</v>
      </c>
      <c r="Q20" s="18" t="n">
        <v>0</v>
      </c>
      <c r="R20" s="20" t="n">
        <v>0</v>
      </c>
    </row>
    <row r="21" spans="1:18">
      <c r="A21" s="15" t="s">
        <v>363</v>
      </c>
      <c r="B21" s="17" t="n">
        <v>2833</v>
      </c>
      <c r="C21" s="18">
        <f>(2345.0/B21*100)</f>
        <v/>
      </c>
      <c r="D21" s="19" t="n">
        <v>488</v>
      </c>
      <c r="E21" s="18" t="n">
        <v>0</v>
      </c>
      <c r="F21" s="20" t="n">
        <v>0</v>
      </c>
      <c r="G21" s="18" t="n">
        <v>0</v>
      </c>
      <c r="H21" s="20" t="n">
        <v>0</v>
      </c>
      <c r="I21" s="18" t="s">
        <v>349</v>
      </c>
      <c r="J21" s="20" t="s">
        <v>349</v>
      </c>
      <c r="K21" s="18" t="n">
        <v>0</v>
      </c>
      <c r="L21" s="20" t="n">
        <v>0</v>
      </c>
      <c r="M21" s="18" t="n">
        <v>100</v>
      </c>
      <c r="N21" s="20" t="n">
        <v>0</v>
      </c>
      <c r="O21" s="18" t="n">
        <v>0</v>
      </c>
      <c r="P21" s="20" t="n">
        <v>0</v>
      </c>
      <c r="Q21" s="18" t="n">
        <v>0</v>
      </c>
      <c r="R21" s="20" t="n">
        <v>0</v>
      </c>
    </row>
    <row r="22" spans="1:18">
      <c r="A22" s="15" t="s">
        <v>364</v>
      </c>
      <c r="B22" s="17" t="n">
        <v>3667</v>
      </c>
      <c r="C22" s="18">
        <f>(3230.0/B22*100)</f>
        <v/>
      </c>
      <c r="D22" s="19" t="n">
        <v>437</v>
      </c>
      <c r="E22" s="18" t="n">
        <v>0</v>
      </c>
      <c r="F22" s="20" t="n">
        <v>0</v>
      </c>
      <c r="G22" s="18" t="n">
        <v>0</v>
      </c>
      <c r="H22" s="20" t="n">
        <v>0</v>
      </c>
      <c r="I22" s="18" t="s">
        <v>349</v>
      </c>
      <c r="J22" s="20" t="s">
        <v>349</v>
      </c>
      <c r="K22" s="18" t="n">
        <v>0</v>
      </c>
      <c r="L22" s="20" t="n">
        <v>0</v>
      </c>
      <c r="M22" s="18" t="n">
        <v>100</v>
      </c>
      <c r="N22" s="20" t="n">
        <v>0</v>
      </c>
      <c r="O22" s="18" t="n">
        <v>0</v>
      </c>
      <c r="P22" s="20" t="n">
        <v>0</v>
      </c>
      <c r="Q22" s="18" t="n">
        <v>0</v>
      </c>
      <c r="R22" s="20" t="n">
        <v>0</v>
      </c>
    </row>
    <row r="23" spans="1:18">
      <c r="A23" s="15" t="s">
        <v>365</v>
      </c>
      <c r="B23" s="17" t="n">
        <v>5792</v>
      </c>
      <c r="C23" s="18">
        <f>(5069.0/B23*100)</f>
        <v/>
      </c>
      <c r="D23" s="19" t="n">
        <v>723</v>
      </c>
      <c r="E23" s="18" t="n">
        <v>0</v>
      </c>
      <c r="F23" s="20" t="n">
        <v>0</v>
      </c>
      <c r="G23" s="18" t="n">
        <v>0</v>
      </c>
      <c r="H23" s="20" t="n">
        <v>0</v>
      </c>
      <c r="I23" s="18" t="s">
        <v>349</v>
      </c>
      <c r="J23" s="20" t="s">
        <v>349</v>
      </c>
      <c r="K23" s="18" t="n">
        <v>0</v>
      </c>
      <c r="L23" s="20" t="n">
        <v>0</v>
      </c>
      <c r="M23" s="18" t="n">
        <v>100</v>
      </c>
      <c r="N23" s="20" t="n">
        <v>0</v>
      </c>
      <c r="O23" s="18" t="n">
        <v>0</v>
      </c>
      <c r="P23" s="20" t="n">
        <v>0</v>
      </c>
      <c r="Q23" s="18" t="n">
        <v>0</v>
      </c>
      <c r="R23" s="20" t="n">
        <v>0</v>
      </c>
    </row>
    <row r="24" spans="1:18">
      <c r="A24" s="15" t="s">
        <v>366</v>
      </c>
      <c r="B24" s="17" t="n">
        <v>3309</v>
      </c>
      <c r="C24" s="18">
        <f>(2900.0/B24*100)</f>
        <v/>
      </c>
      <c r="D24" s="19" t="n">
        <v>409</v>
      </c>
      <c r="E24" s="18" t="n">
        <v>0</v>
      </c>
      <c r="F24" s="20" t="n">
        <v>0</v>
      </c>
      <c r="G24" s="18" t="n">
        <v>0</v>
      </c>
      <c r="H24" s="20" t="n">
        <v>0</v>
      </c>
      <c r="I24" s="18" t="s">
        <v>349</v>
      </c>
      <c r="J24" s="20" t="s">
        <v>349</v>
      </c>
      <c r="K24" s="18" t="n">
        <v>0</v>
      </c>
      <c r="L24" s="20" t="n">
        <v>0</v>
      </c>
      <c r="M24" s="18" t="n">
        <v>100</v>
      </c>
      <c r="N24" s="20" t="n">
        <v>0</v>
      </c>
      <c r="O24" s="18" t="n">
        <v>0</v>
      </c>
      <c r="P24" s="20" t="n">
        <v>0</v>
      </c>
      <c r="Q24" s="18" t="n">
        <v>0</v>
      </c>
      <c r="R24" s="20" t="n">
        <v>0</v>
      </c>
    </row>
    <row r="25" spans="1:18">
      <c r="A25" s="15" t="s">
        <v>367</v>
      </c>
      <c r="B25" s="17" t="n">
        <v>2669</v>
      </c>
      <c r="C25" s="18">
        <f>(2342.0/B25*100)</f>
        <v/>
      </c>
      <c r="D25" s="19" t="n">
        <v>327</v>
      </c>
      <c r="E25" s="18" t="n">
        <v>0</v>
      </c>
      <c r="F25" s="20" t="n">
        <v>0</v>
      </c>
      <c r="G25" s="18" t="n">
        <v>0</v>
      </c>
      <c r="H25" s="20" t="n">
        <v>0</v>
      </c>
      <c r="I25" s="18" t="s">
        <v>349</v>
      </c>
      <c r="J25" s="20" t="s">
        <v>349</v>
      </c>
      <c r="K25" s="18" t="n">
        <v>0</v>
      </c>
      <c r="L25" s="20" t="n">
        <v>0</v>
      </c>
      <c r="M25" s="18" t="n">
        <v>100</v>
      </c>
      <c r="N25" s="20" t="n">
        <v>0</v>
      </c>
      <c r="O25" s="18" t="n">
        <v>0</v>
      </c>
      <c r="P25" s="20" t="n">
        <v>0</v>
      </c>
      <c r="Q25" s="18" t="n">
        <v>0</v>
      </c>
      <c r="R25" s="20" t="n">
        <v>0</v>
      </c>
    </row>
    <row r="26" spans="1:18">
      <c r="A26" s="15" t="s">
        <v>368</v>
      </c>
      <c r="B26" s="17" t="n">
        <v>2419</v>
      </c>
      <c r="C26" s="18">
        <f>(2121.0/B26*100)</f>
        <v/>
      </c>
      <c r="D26" s="19" t="n">
        <v>298</v>
      </c>
      <c r="E26" s="18" t="n">
        <v>0</v>
      </c>
      <c r="F26" s="20" t="n">
        <v>0</v>
      </c>
      <c r="G26" s="18" t="n">
        <v>0</v>
      </c>
      <c r="H26" s="20" t="n">
        <v>0</v>
      </c>
      <c r="I26" s="18" t="s">
        <v>349</v>
      </c>
      <c r="J26" s="20" t="s">
        <v>349</v>
      </c>
      <c r="K26" s="18" t="n">
        <v>0</v>
      </c>
      <c r="L26" s="20" t="n">
        <v>0</v>
      </c>
      <c r="M26" s="18" t="n">
        <v>100</v>
      </c>
      <c r="N26" s="20" t="n">
        <v>0</v>
      </c>
      <c r="O26" s="18" t="n">
        <v>0</v>
      </c>
      <c r="P26" s="20" t="n">
        <v>0</v>
      </c>
      <c r="Q26" s="18" t="n">
        <v>0</v>
      </c>
      <c r="R26" s="20" t="n">
        <v>0</v>
      </c>
    </row>
    <row r="27" spans="1:18">
      <c r="A27" s="15" t="s">
        <v>369</v>
      </c>
      <c r="B27" s="17" t="n">
        <v>2683</v>
      </c>
      <c r="C27" s="18">
        <f>(2369.0/B27*100)</f>
        <v/>
      </c>
      <c r="D27" s="19" t="n">
        <v>314</v>
      </c>
      <c r="E27" s="18" t="n">
        <v>0</v>
      </c>
      <c r="F27" s="20" t="n">
        <v>0</v>
      </c>
      <c r="G27" s="18" t="n">
        <v>0</v>
      </c>
      <c r="H27" s="20" t="n">
        <v>0</v>
      </c>
      <c r="I27" s="18" t="s">
        <v>349</v>
      </c>
      <c r="J27" s="20" t="s">
        <v>349</v>
      </c>
      <c r="K27" s="18" t="n">
        <v>0</v>
      </c>
      <c r="L27" s="20" t="n">
        <v>0</v>
      </c>
      <c r="M27" s="18" t="n">
        <v>100</v>
      </c>
      <c r="N27" s="20" t="n">
        <v>0</v>
      </c>
      <c r="O27" s="18" t="n">
        <v>0</v>
      </c>
      <c r="P27" s="20" t="n">
        <v>0</v>
      </c>
      <c r="Q27" s="18" t="n">
        <v>0</v>
      </c>
      <c r="R27" s="20" t="n">
        <v>0</v>
      </c>
    </row>
    <row r="28" spans="1:18">
      <c r="A28" s="15" t="s">
        <v>370</v>
      </c>
      <c r="B28" s="17" t="n">
        <v>3803</v>
      </c>
      <c r="C28" s="18">
        <f>(3324.0/B28*100)</f>
        <v/>
      </c>
      <c r="D28" s="19" t="n">
        <v>479</v>
      </c>
      <c r="E28" s="18" t="n">
        <v>0</v>
      </c>
      <c r="F28" s="20" t="n">
        <v>0</v>
      </c>
      <c r="G28" s="18" t="n">
        <v>0</v>
      </c>
      <c r="H28" s="20" t="n">
        <v>0</v>
      </c>
      <c r="I28" s="18" t="s">
        <v>349</v>
      </c>
      <c r="J28" s="20" t="s">
        <v>349</v>
      </c>
      <c r="K28" s="18" t="n">
        <v>0</v>
      </c>
      <c r="L28" s="20" t="n">
        <v>0</v>
      </c>
      <c r="M28" s="18" t="n">
        <v>100</v>
      </c>
      <c r="N28" s="20" t="n">
        <v>0</v>
      </c>
      <c r="O28" s="18" t="n">
        <v>0</v>
      </c>
      <c r="P28" s="20" t="n">
        <v>0</v>
      </c>
      <c r="Q28" s="18" t="n">
        <v>0</v>
      </c>
      <c r="R28" s="20" t="n">
        <v>0</v>
      </c>
    </row>
    <row r="29" spans="1:18">
      <c r="A29" s="15" t="s">
        <v>371</v>
      </c>
      <c r="B29" s="17" t="n">
        <v>2700</v>
      </c>
      <c r="C29" s="18">
        <f>(2367.0/B29*100)</f>
        <v/>
      </c>
      <c r="D29" s="19" t="n">
        <v>333</v>
      </c>
      <c r="E29" s="18" t="n">
        <v>0</v>
      </c>
      <c r="F29" s="20" t="n">
        <v>0</v>
      </c>
      <c r="G29" s="18" t="n">
        <v>0</v>
      </c>
      <c r="H29" s="20" t="n">
        <v>0</v>
      </c>
      <c r="I29" s="18" t="s">
        <v>349</v>
      </c>
      <c r="J29" s="20" t="s">
        <v>349</v>
      </c>
      <c r="K29" s="18" t="n">
        <v>0</v>
      </c>
      <c r="L29" s="20" t="n">
        <v>0</v>
      </c>
      <c r="M29" s="18" t="n">
        <v>100</v>
      </c>
      <c r="N29" s="20" t="n">
        <v>0</v>
      </c>
      <c r="O29" s="18" t="n">
        <v>0</v>
      </c>
      <c r="P29" s="20" t="n">
        <v>0</v>
      </c>
      <c r="Q29" s="18" t="n">
        <v>0</v>
      </c>
      <c r="R29" s="20" t="n">
        <v>0</v>
      </c>
    </row>
    <row r="30" spans="1:18">
      <c r="A30" s="15" t="s">
        <v>372</v>
      </c>
      <c r="B30" s="17" t="n">
        <v>2257</v>
      </c>
      <c r="C30" s="18">
        <f>(1980.0/B30*100)</f>
        <v/>
      </c>
      <c r="D30" s="19" t="n">
        <v>277</v>
      </c>
      <c r="E30" s="18" t="n">
        <v>0</v>
      </c>
      <c r="F30" s="20" t="n">
        <v>0</v>
      </c>
      <c r="G30" s="18" t="n">
        <v>0</v>
      </c>
      <c r="H30" s="20" t="n">
        <v>0</v>
      </c>
      <c r="I30" s="18" t="s">
        <v>349</v>
      </c>
      <c r="J30" s="20" t="s">
        <v>349</v>
      </c>
      <c r="K30" s="18" t="n">
        <v>0</v>
      </c>
      <c r="L30" s="20" t="n">
        <v>0</v>
      </c>
      <c r="M30" s="18" t="n">
        <v>100</v>
      </c>
      <c r="N30" s="20" t="n">
        <v>0</v>
      </c>
      <c r="O30" s="18" t="n">
        <v>0</v>
      </c>
      <c r="P30" s="20" t="n">
        <v>0</v>
      </c>
      <c r="Q30" s="18" t="n">
        <v>0</v>
      </c>
      <c r="R30" s="20" t="n">
        <v>0</v>
      </c>
    </row>
    <row r="31" spans="1:18">
      <c r="A31" s="15" t="s">
        <v>373</v>
      </c>
      <c r="B31" s="17" t="n">
        <v>2706</v>
      </c>
      <c r="C31" s="18">
        <f>(2365.0/B31*100)</f>
        <v/>
      </c>
      <c r="D31" s="19" t="n">
        <v>341</v>
      </c>
      <c r="E31" s="18" t="n">
        <v>0</v>
      </c>
      <c r="F31" s="20" t="n">
        <v>0</v>
      </c>
      <c r="G31" s="18" t="n">
        <v>0</v>
      </c>
      <c r="H31" s="20" t="n">
        <v>0</v>
      </c>
      <c r="I31" s="18" t="s">
        <v>349</v>
      </c>
      <c r="J31" s="20" t="s">
        <v>349</v>
      </c>
      <c r="K31" s="18" t="n">
        <v>0</v>
      </c>
      <c r="L31" s="20" t="n">
        <v>0</v>
      </c>
      <c r="M31" s="18" t="n">
        <v>100</v>
      </c>
      <c r="N31" s="20" t="n">
        <v>0</v>
      </c>
      <c r="O31" s="18" t="n">
        <v>0</v>
      </c>
      <c r="P31" s="20" t="n">
        <v>0</v>
      </c>
      <c r="Q31" s="18" t="n">
        <v>0</v>
      </c>
      <c r="R31" s="20" t="n">
        <v>0</v>
      </c>
    </row>
    <row r="32" spans="1:18">
      <c r="A32" s="15" t="s">
        <v>374</v>
      </c>
      <c r="B32" s="17" t="n">
        <v>2209</v>
      </c>
      <c r="C32" s="18">
        <f>(1858.0/B32*100)</f>
        <v/>
      </c>
      <c r="D32" s="19" t="n">
        <v>351</v>
      </c>
      <c r="E32" s="18" t="n">
        <v>0</v>
      </c>
      <c r="F32" s="20" t="n">
        <v>0</v>
      </c>
      <c r="G32" s="18" t="n">
        <v>0</v>
      </c>
      <c r="H32" s="20" t="n">
        <v>0</v>
      </c>
      <c r="I32" s="18" t="s">
        <v>349</v>
      </c>
      <c r="J32" s="20" t="s">
        <v>349</v>
      </c>
      <c r="K32" s="18" t="n">
        <v>0</v>
      </c>
      <c r="L32" s="20" t="n">
        <v>0</v>
      </c>
      <c r="M32" s="18" t="n">
        <v>100</v>
      </c>
      <c r="N32" s="20" t="n">
        <v>0</v>
      </c>
      <c r="O32" s="18" t="n">
        <v>0</v>
      </c>
      <c r="P32" s="20" t="n">
        <v>0</v>
      </c>
      <c r="Q32" s="18" t="n">
        <v>0</v>
      </c>
      <c r="R32" s="20" t="n">
        <v>0</v>
      </c>
    </row>
    <row r="33" spans="1:18">
      <c r="A33" s="15" t="s">
        <v>375</v>
      </c>
      <c r="B33" s="17" t="n">
        <v>3651</v>
      </c>
      <c r="C33" s="18">
        <f>(3190.0/B33*100)</f>
        <v/>
      </c>
      <c r="D33" s="19" t="n">
        <v>461</v>
      </c>
      <c r="E33" s="18" t="n">
        <v>0</v>
      </c>
      <c r="F33" s="20" t="n">
        <v>0</v>
      </c>
      <c r="G33" s="18" t="n">
        <v>0</v>
      </c>
      <c r="H33" s="20" t="n">
        <v>0</v>
      </c>
      <c r="I33" s="18" t="s">
        <v>349</v>
      </c>
      <c r="J33" s="20" t="s">
        <v>349</v>
      </c>
      <c r="K33" s="18" t="n">
        <v>0</v>
      </c>
      <c r="L33" s="20" t="n">
        <v>0</v>
      </c>
      <c r="M33" s="18" t="n">
        <v>100</v>
      </c>
      <c r="N33" s="20" t="n">
        <v>0</v>
      </c>
      <c r="O33" s="18" t="n">
        <v>0</v>
      </c>
      <c r="P33" s="20" t="n">
        <v>0</v>
      </c>
      <c r="Q33" s="18" t="n">
        <v>0</v>
      </c>
      <c r="R33" s="20" t="n">
        <v>0</v>
      </c>
    </row>
    <row r="34" spans="1:18">
      <c r="A34" s="15" t="s">
        <v>376</v>
      </c>
      <c r="B34" s="17" t="n">
        <v>3035</v>
      </c>
      <c r="C34" s="18">
        <f>(2686.0/B34*100)</f>
        <v/>
      </c>
      <c r="D34" s="19" t="n">
        <v>349</v>
      </c>
      <c r="E34" s="18" t="n">
        <v>0</v>
      </c>
      <c r="F34" s="20" t="n">
        <v>0</v>
      </c>
      <c r="G34" s="18" t="n">
        <v>0</v>
      </c>
      <c r="H34" s="20" t="n">
        <v>0</v>
      </c>
      <c r="I34" s="18" t="s">
        <v>349</v>
      </c>
      <c r="J34" s="20" t="s">
        <v>349</v>
      </c>
      <c r="K34" s="18" t="n">
        <v>0</v>
      </c>
      <c r="L34" s="20" t="n">
        <v>0</v>
      </c>
      <c r="M34" s="18" t="n">
        <v>100</v>
      </c>
      <c r="N34" s="20" t="n">
        <v>0</v>
      </c>
      <c r="O34" s="18" t="n">
        <v>0</v>
      </c>
      <c r="P34" s="20" t="n">
        <v>0</v>
      </c>
      <c r="Q34" s="18" t="n">
        <v>0</v>
      </c>
      <c r="R34" s="20" t="n">
        <v>0</v>
      </c>
    </row>
    <row r="35" spans="1:18">
      <c r="A35" s="15" t="s">
        <v>377</v>
      </c>
      <c r="B35" s="17" t="n">
        <v>2901</v>
      </c>
      <c r="C35" s="18">
        <f>(2566.0/B35*100)</f>
        <v/>
      </c>
      <c r="D35" s="19" t="n">
        <v>335</v>
      </c>
      <c r="E35" s="18" t="n">
        <v>0</v>
      </c>
      <c r="F35" s="20" t="n">
        <v>0</v>
      </c>
      <c r="G35" s="18" t="n">
        <v>0</v>
      </c>
      <c r="H35" s="20" t="n">
        <v>0</v>
      </c>
      <c r="I35" s="18" t="s">
        <v>349</v>
      </c>
      <c r="J35" s="20" t="s">
        <v>349</v>
      </c>
      <c r="K35" s="18" t="n">
        <v>0</v>
      </c>
      <c r="L35" s="20" t="n">
        <v>0</v>
      </c>
      <c r="M35" s="18" t="n">
        <v>100</v>
      </c>
      <c r="N35" s="20" t="n">
        <v>0</v>
      </c>
      <c r="O35" s="18" t="n">
        <v>0</v>
      </c>
      <c r="P35" s="20" t="n">
        <v>0</v>
      </c>
      <c r="Q35" s="18" t="n">
        <v>0</v>
      </c>
      <c r="R35" s="20" t="n">
        <v>0</v>
      </c>
    </row>
    <row r="36" spans="1:18">
      <c r="A36" s="15" t="s">
        <v>378</v>
      </c>
      <c r="B36" s="17" t="n">
        <v>3404</v>
      </c>
      <c r="C36" s="18">
        <f>(2996.0/B36*100)</f>
        <v/>
      </c>
      <c r="D36" s="19" t="n">
        <v>408</v>
      </c>
      <c r="E36" s="18" t="n">
        <v>0</v>
      </c>
      <c r="F36" s="20" t="n">
        <v>0</v>
      </c>
      <c r="G36" s="18" t="n">
        <v>0</v>
      </c>
      <c r="H36" s="20" t="n">
        <v>0</v>
      </c>
      <c r="I36" s="18" t="s">
        <v>349</v>
      </c>
      <c r="J36" s="20" t="s">
        <v>349</v>
      </c>
      <c r="K36" s="18" t="n">
        <v>0</v>
      </c>
      <c r="L36" s="20" t="n">
        <v>0</v>
      </c>
      <c r="M36" s="18" t="n">
        <v>100</v>
      </c>
      <c r="N36" s="20" t="n">
        <v>0</v>
      </c>
      <c r="O36" s="18" t="n">
        <v>0</v>
      </c>
      <c r="P36" s="20" t="n">
        <v>0</v>
      </c>
      <c r="Q36" s="18" t="n">
        <v>0</v>
      </c>
      <c r="R36" s="20" t="n">
        <v>0</v>
      </c>
    </row>
    <row r="37" spans="1:18">
      <c r="A37" s="15" t="s">
        <v>379</v>
      </c>
      <c r="B37" s="17" t="n">
        <v>2731</v>
      </c>
      <c r="C37" s="18">
        <f>(2385.0/B37*100)</f>
        <v/>
      </c>
      <c r="D37" s="19" t="n">
        <v>346</v>
      </c>
      <c r="E37" s="18" t="n">
        <v>0</v>
      </c>
      <c r="F37" s="20" t="n">
        <v>0</v>
      </c>
      <c r="G37" s="18" t="n">
        <v>0</v>
      </c>
      <c r="H37" s="20" t="n">
        <v>0</v>
      </c>
      <c r="I37" s="18" t="s">
        <v>349</v>
      </c>
      <c r="J37" s="20" t="s">
        <v>349</v>
      </c>
      <c r="K37" s="18" t="n">
        <v>0</v>
      </c>
      <c r="L37" s="20" t="n">
        <v>0</v>
      </c>
      <c r="M37" s="18" t="n">
        <v>100</v>
      </c>
      <c r="N37" s="20" t="n">
        <v>0</v>
      </c>
      <c r="O37" s="18" t="n">
        <v>0</v>
      </c>
      <c r="P37" s="20" t="n">
        <v>0</v>
      </c>
      <c r="Q37" s="18" t="n">
        <v>0</v>
      </c>
      <c r="R37" s="20" t="n">
        <v>0</v>
      </c>
    </row>
    <row r="38" spans="1:18">
      <c r="A38" s="15" t="s">
        <v>380</v>
      </c>
      <c r="B38" s="17" t="n">
        <v>2807</v>
      </c>
      <c r="C38" s="18">
        <f>(2325.0/B38*100)</f>
        <v/>
      </c>
      <c r="D38" s="19" t="n">
        <v>482</v>
      </c>
      <c r="E38" s="18" t="n">
        <v>0</v>
      </c>
      <c r="F38" s="20" t="n">
        <v>0</v>
      </c>
      <c r="G38" s="18" t="n">
        <v>0</v>
      </c>
      <c r="H38" s="20" t="n">
        <v>0</v>
      </c>
      <c r="I38" s="18" t="s">
        <v>349</v>
      </c>
      <c r="J38" s="20" t="s">
        <v>349</v>
      </c>
      <c r="K38" s="18" t="n">
        <v>0</v>
      </c>
      <c r="L38" s="20" t="n">
        <v>0</v>
      </c>
      <c r="M38" s="18" t="n">
        <v>100</v>
      </c>
      <c r="N38" s="20" t="n">
        <v>0</v>
      </c>
      <c r="O38" s="18" t="n">
        <v>0</v>
      </c>
      <c r="P38" s="20" t="n">
        <v>0</v>
      </c>
      <c r="Q38" s="18" t="n">
        <v>0</v>
      </c>
      <c r="R38" s="20" t="n">
        <v>0</v>
      </c>
    </row>
    <row r="39" spans="1:18">
      <c r="A39" s="15" t="s">
        <v>381</v>
      </c>
      <c r="B39" s="17" t="n">
        <v>2938</v>
      </c>
      <c r="C39" s="18">
        <f>(2577.0/B39*100)</f>
        <v/>
      </c>
      <c r="D39" s="19" t="n">
        <v>361</v>
      </c>
      <c r="E39" s="18" t="n">
        <v>0</v>
      </c>
      <c r="F39" s="20" t="n">
        <v>0</v>
      </c>
      <c r="G39" s="18" t="n">
        <v>0</v>
      </c>
      <c r="H39" s="20" t="n">
        <v>0</v>
      </c>
      <c r="I39" s="18" t="s">
        <v>349</v>
      </c>
      <c r="J39" s="20" t="s">
        <v>349</v>
      </c>
      <c r="K39" s="18" t="n">
        <v>0</v>
      </c>
      <c r="L39" s="20" t="n">
        <v>0</v>
      </c>
      <c r="M39" s="18" t="n">
        <v>100</v>
      </c>
      <c r="N39" s="20" t="n">
        <v>0</v>
      </c>
      <c r="O39" s="18" t="n">
        <v>0</v>
      </c>
      <c r="P39" s="20" t="n">
        <v>0</v>
      </c>
      <c r="Q39" s="18" t="n">
        <v>0</v>
      </c>
      <c r="R39" s="20" t="n">
        <v>0</v>
      </c>
    </row>
    <row r="40" spans="1:18">
      <c r="A40" s="15" t="s">
        <v>382</v>
      </c>
      <c r="B40" s="17" t="n">
        <v>6922</v>
      </c>
      <c r="C40" s="18">
        <f>(6084.0/B40*100)</f>
        <v/>
      </c>
      <c r="D40" s="19" t="n">
        <v>838</v>
      </c>
      <c r="E40" s="18" t="n">
        <v>0</v>
      </c>
      <c r="F40" s="20" t="n">
        <v>0</v>
      </c>
      <c r="G40" s="18" t="n">
        <v>0</v>
      </c>
      <c r="H40" s="20" t="n">
        <v>0</v>
      </c>
      <c r="I40" s="18" t="s">
        <v>349</v>
      </c>
      <c r="J40" s="20" t="s">
        <v>349</v>
      </c>
      <c r="K40" s="18" t="n">
        <v>0</v>
      </c>
      <c r="L40" s="20" t="n">
        <v>0</v>
      </c>
      <c r="M40" s="18" t="n">
        <v>100</v>
      </c>
      <c r="N40" s="20" t="n">
        <v>0</v>
      </c>
      <c r="O40" s="18" t="n">
        <v>0</v>
      </c>
      <c r="P40" s="20" t="n">
        <v>0</v>
      </c>
      <c r="Q40" s="18" t="n">
        <v>0</v>
      </c>
      <c r="R40" s="20" t="n">
        <v>0</v>
      </c>
    </row>
    <row r="41" spans="1:18">
      <c r="A41" s="15" t="s">
        <v>383</v>
      </c>
      <c r="B41" s="17" t="n">
        <v>2854</v>
      </c>
      <c r="C41" s="18">
        <f>(2505.0/B41*100)</f>
        <v/>
      </c>
      <c r="D41" s="19" t="n">
        <v>349</v>
      </c>
      <c r="E41" s="18" t="n">
        <v>0</v>
      </c>
      <c r="F41" s="20" t="n">
        <v>0</v>
      </c>
      <c r="G41" s="18" t="n">
        <v>0</v>
      </c>
      <c r="H41" s="20" t="n">
        <v>0</v>
      </c>
      <c r="I41" s="18" t="s">
        <v>349</v>
      </c>
      <c r="J41" s="20" t="s">
        <v>349</v>
      </c>
      <c r="K41" s="18" t="n">
        <v>0</v>
      </c>
      <c r="L41" s="20" t="n">
        <v>0</v>
      </c>
      <c r="M41" s="18" t="n">
        <v>100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(10726.0/B46*100)</f>
        <v/>
      </c>
      <c r="D46" s="19" t="n">
        <v>1347</v>
      </c>
      <c r="E46" s="18" t="n">
        <v>0</v>
      </c>
      <c r="F46" s="20" t="n">
        <v>0</v>
      </c>
      <c r="G46" s="18" t="n">
        <v>0</v>
      </c>
      <c r="H46" s="20" t="n">
        <v>0</v>
      </c>
      <c r="I46" s="18" t="s">
        <v>349</v>
      </c>
      <c r="J46" s="20" t="s">
        <v>349</v>
      </c>
      <c r="K46" s="18" t="n">
        <v>0</v>
      </c>
      <c r="L46" s="20" t="n">
        <v>0</v>
      </c>
      <c r="M46" s="18" t="n">
        <v>100</v>
      </c>
      <c r="N46" s="20" t="n">
        <v>0</v>
      </c>
      <c r="O46" s="18" t="n">
        <v>0</v>
      </c>
      <c r="P46" s="20" t="n">
        <v>0</v>
      </c>
      <c r="Q46" s="18" t="n">
        <v>0</v>
      </c>
      <c r="R46" s="20" t="n">
        <v>0</v>
      </c>
    </row>
    <row r="47" spans="1:18">
      <c r="A47" s="15" t="s">
        <v>389</v>
      </c>
      <c r="B47" s="17" t="n">
        <v>2823</v>
      </c>
      <c r="C47" s="18">
        <f>(2479.0/B47*100)</f>
        <v/>
      </c>
      <c r="D47" s="19" t="n">
        <v>344</v>
      </c>
      <c r="E47" s="18" t="n">
        <v>0</v>
      </c>
      <c r="F47" s="20" t="n">
        <v>0</v>
      </c>
      <c r="G47" s="18" t="n">
        <v>0</v>
      </c>
      <c r="H47" s="20" t="n">
        <v>0</v>
      </c>
      <c r="I47" s="18" t="s">
        <v>349</v>
      </c>
      <c r="J47" s="20" t="s">
        <v>349</v>
      </c>
      <c r="K47" s="18" t="n">
        <v>0</v>
      </c>
      <c r="L47" s="20" t="n">
        <v>0</v>
      </c>
      <c r="M47" s="18" t="n">
        <v>100</v>
      </c>
      <c r="N47" s="20" t="n">
        <v>0</v>
      </c>
      <c r="O47" s="18" t="n">
        <v>0</v>
      </c>
      <c r="P47" s="20" t="n">
        <v>0</v>
      </c>
      <c r="Q47" s="18" t="n">
        <v>0</v>
      </c>
      <c r="R47" s="20" t="n">
        <v>0</v>
      </c>
    </row>
    <row r="48" spans="1:18">
      <c r="A48" s="15" t="s">
        <v>390</v>
      </c>
      <c r="B48" s="17" t="n">
        <v>4682</v>
      </c>
      <c r="C48" s="18">
        <f>(4107.0/B48*100)</f>
        <v/>
      </c>
      <c r="D48" s="19" t="n">
        <v>575</v>
      </c>
      <c r="E48" s="18" t="n">
        <v>0</v>
      </c>
      <c r="F48" s="20" t="n">
        <v>0</v>
      </c>
      <c r="G48" s="18" t="n">
        <v>0</v>
      </c>
      <c r="H48" s="20" t="n">
        <v>0</v>
      </c>
      <c r="I48" s="18" t="s">
        <v>349</v>
      </c>
      <c r="J48" s="20" t="s">
        <v>349</v>
      </c>
      <c r="K48" s="18" t="n">
        <v>0</v>
      </c>
      <c r="L48" s="20" t="n">
        <v>0</v>
      </c>
      <c r="M48" s="18" t="n">
        <v>100</v>
      </c>
      <c r="N48" s="20" t="n">
        <v>0</v>
      </c>
      <c r="O48" s="18" t="n">
        <v>0</v>
      </c>
      <c r="P48" s="20" t="n">
        <v>0</v>
      </c>
      <c r="Q48" s="18" t="n">
        <v>0</v>
      </c>
      <c r="R48" s="20" t="n">
        <v>0</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(5405.0/B50*100)</f>
        <v/>
      </c>
      <c r="D50" s="19" t="n">
        <v>753</v>
      </c>
      <c r="E50" s="18" t="n">
        <v>0</v>
      </c>
      <c r="F50" s="20" t="n">
        <v>0</v>
      </c>
      <c r="G50" s="18" t="n">
        <v>0</v>
      </c>
      <c r="H50" s="20" t="n">
        <v>0</v>
      </c>
      <c r="I50" s="18" t="s">
        <v>349</v>
      </c>
      <c r="J50" s="20" t="s">
        <v>349</v>
      </c>
      <c r="K50" s="18" t="n">
        <v>0</v>
      </c>
      <c r="L50" s="20" t="n">
        <v>0</v>
      </c>
      <c r="M50" s="18" t="n">
        <v>100</v>
      </c>
      <c r="N50" s="20" t="n">
        <v>0</v>
      </c>
      <c r="O50" s="18" t="n">
        <v>0</v>
      </c>
      <c r="P50" s="20" t="n">
        <v>0</v>
      </c>
      <c r="Q50" s="18" t="n">
        <v>0</v>
      </c>
      <c r="R50" s="20" t="n">
        <v>0</v>
      </c>
    </row>
    <row r="51" spans="1:18">
      <c r="A51" s="15" t="s">
        <v>393</v>
      </c>
      <c r="B51" s="17" t="n">
        <v>3494</v>
      </c>
      <c r="C51" s="18">
        <f>(3093.0/B51*100)</f>
        <v/>
      </c>
      <c r="D51" s="19" t="n">
        <v>401</v>
      </c>
      <c r="E51" s="18" t="n">
        <v>0</v>
      </c>
      <c r="F51" s="20" t="n">
        <v>0</v>
      </c>
      <c r="G51" s="18" t="n">
        <v>0</v>
      </c>
      <c r="H51" s="20" t="n">
        <v>0</v>
      </c>
      <c r="I51" s="18" t="s">
        <v>349</v>
      </c>
      <c r="J51" s="20" t="s">
        <v>349</v>
      </c>
      <c r="K51" s="18" t="n">
        <v>0</v>
      </c>
      <c r="L51" s="20" t="n">
        <v>0</v>
      </c>
      <c r="M51" s="18" t="n">
        <v>100</v>
      </c>
      <c r="N51" s="20" t="n">
        <v>0</v>
      </c>
      <c r="O51" s="18" t="n">
        <v>0</v>
      </c>
      <c r="P51" s="20" t="n">
        <v>0</v>
      </c>
      <c r="Q51" s="18" t="n">
        <v>0</v>
      </c>
      <c r="R51" s="20" t="n">
        <v>0</v>
      </c>
    </row>
    <row r="52" spans="1:18">
      <c r="A52" s="15" t="s">
        <v>394</v>
      </c>
      <c r="B52" s="17" t="n">
        <v>3013</v>
      </c>
      <c r="C52" s="18">
        <f>(2637.0/B52*100)</f>
        <v/>
      </c>
      <c r="D52" s="19" t="n">
        <v>376</v>
      </c>
      <c r="E52" s="18" t="n">
        <v>0</v>
      </c>
      <c r="F52" s="20" t="n">
        <v>0</v>
      </c>
      <c r="G52" s="18" t="n">
        <v>0</v>
      </c>
      <c r="H52" s="20" t="n">
        <v>0</v>
      </c>
      <c r="I52" s="18" t="s">
        <v>349</v>
      </c>
      <c r="J52" s="20" t="s">
        <v>349</v>
      </c>
      <c r="K52" s="18" t="n">
        <v>0</v>
      </c>
      <c r="L52" s="20" t="n">
        <v>0</v>
      </c>
      <c r="M52" s="18" t="n">
        <v>100</v>
      </c>
      <c r="N52" s="20" t="n">
        <v>0</v>
      </c>
      <c r="O52" s="18" t="n">
        <v>0</v>
      </c>
      <c r="P52" s="20" t="n">
        <v>0</v>
      </c>
      <c r="Q52" s="18" t="n">
        <v>0</v>
      </c>
      <c r="R52" s="20" t="n">
        <v>0</v>
      </c>
    </row>
    <row r="53" spans="1:18">
      <c r="A53" s="15" t="s">
        <v>395</v>
      </c>
      <c r="B53" s="17" t="n">
        <v>2760</v>
      </c>
      <c r="C53" s="18">
        <f>(2409.0/B53*100)</f>
        <v/>
      </c>
      <c r="D53" s="19" t="n">
        <v>351</v>
      </c>
      <c r="E53" s="18" t="n">
        <v>0</v>
      </c>
      <c r="F53" s="20" t="n">
        <v>0</v>
      </c>
      <c r="G53" s="18" t="n">
        <v>0</v>
      </c>
      <c r="H53" s="20" t="n">
        <v>0</v>
      </c>
      <c r="I53" s="18" t="s">
        <v>349</v>
      </c>
      <c r="J53" s="20" t="s">
        <v>349</v>
      </c>
      <c r="K53" s="18" t="n">
        <v>0</v>
      </c>
      <c r="L53" s="20" t="n">
        <v>0</v>
      </c>
      <c r="M53" s="18" t="n">
        <v>100</v>
      </c>
      <c r="N53" s="20" t="n">
        <v>0</v>
      </c>
      <c r="O53" s="18" t="n">
        <v>0</v>
      </c>
      <c r="P53" s="20" t="n">
        <v>0</v>
      </c>
      <c r="Q53" s="18" t="n">
        <v>0</v>
      </c>
      <c r="R53" s="20" t="n">
        <v>0</v>
      </c>
    </row>
    <row r="54" spans="1:18">
      <c r="A54" s="15" t="s">
        <v>396</v>
      </c>
      <c r="B54" s="17" t="n">
        <v>2474</v>
      </c>
      <c r="C54" s="18">
        <f>(2083.0/B54*100)</f>
        <v/>
      </c>
      <c r="D54" s="19" t="n">
        <v>391</v>
      </c>
      <c r="E54" s="18" t="n">
        <v>0</v>
      </c>
      <c r="F54" s="20" t="n">
        <v>0</v>
      </c>
      <c r="G54" s="18" t="n">
        <v>0</v>
      </c>
      <c r="H54" s="20" t="n">
        <v>0</v>
      </c>
      <c r="I54" s="18" t="s">
        <v>349</v>
      </c>
      <c r="J54" s="20" t="s">
        <v>349</v>
      </c>
      <c r="K54" s="18" t="n">
        <v>0</v>
      </c>
      <c r="L54" s="20" t="n">
        <v>0</v>
      </c>
      <c r="M54" s="18" t="n">
        <v>100</v>
      </c>
      <c r="N54" s="20" t="n">
        <v>0</v>
      </c>
      <c r="O54" s="18" t="n">
        <v>0</v>
      </c>
      <c r="P54" s="20" t="n">
        <v>0</v>
      </c>
      <c r="Q54" s="18" t="n">
        <v>0</v>
      </c>
      <c r="R54" s="20" t="n">
        <v>0</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(2334.0/B56*100)</f>
        <v/>
      </c>
      <c r="D56" s="19" t="n">
        <v>341</v>
      </c>
      <c r="E56" s="18" t="n">
        <v>0</v>
      </c>
      <c r="F56" s="20" t="n">
        <v>0</v>
      </c>
      <c r="G56" s="18" t="n">
        <v>0</v>
      </c>
      <c r="H56" s="20" t="n">
        <v>0</v>
      </c>
      <c r="I56" s="18" t="s">
        <v>349</v>
      </c>
      <c r="J56" s="20" t="s">
        <v>349</v>
      </c>
      <c r="K56" s="18" t="n">
        <v>0</v>
      </c>
      <c r="L56" s="20" t="n">
        <v>0</v>
      </c>
      <c r="M56" s="18" t="n">
        <v>100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(2813.0/B61*100)</f>
        <v/>
      </c>
      <c r="D61" s="19" t="n">
        <v>388</v>
      </c>
      <c r="E61" s="18" t="n">
        <v>0</v>
      </c>
      <c r="F61" s="20" t="n">
        <v>0</v>
      </c>
      <c r="G61" s="18" t="n">
        <v>0</v>
      </c>
      <c r="H61" s="20" t="n">
        <v>0</v>
      </c>
      <c r="I61" s="18" t="s">
        <v>349</v>
      </c>
      <c r="J61" s="20" t="s">
        <v>349</v>
      </c>
      <c r="K61" s="18" t="n">
        <v>0</v>
      </c>
      <c r="L61" s="20" t="n">
        <v>0</v>
      </c>
      <c r="M61" s="18" t="n">
        <v>100</v>
      </c>
      <c r="N61" s="20" t="n">
        <v>0</v>
      </c>
      <c r="O61" s="18" t="n">
        <v>0</v>
      </c>
      <c r="P61" s="20" t="n">
        <v>0</v>
      </c>
      <c r="Q61" s="18" t="n">
        <v>0</v>
      </c>
      <c r="R61" s="20" t="n">
        <v>0</v>
      </c>
    </row>
    <row r="62" spans="1:18">
      <c r="A62" s="15" t="s">
        <v>404</v>
      </c>
      <c r="B62" s="17" t="n">
        <v>2230</v>
      </c>
      <c r="C62" s="18">
        <f>(1942.0/B62*100)</f>
        <v/>
      </c>
      <c r="D62" s="19" t="n">
        <v>288</v>
      </c>
      <c r="E62" s="18" t="n">
        <v>0</v>
      </c>
      <c r="F62" s="20" t="n">
        <v>0</v>
      </c>
      <c r="G62" s="18" t="n">
        <v>0</v>
      </c>
      <c r="H62" s="20" t="n">
        <v>0</v>
      </c>
      <c r="I62" s="18" t="s">
        <v>349</v>
      </c>
      <c r="J62" s="20" t="s">
        <v>349</v>
      </c>
      <c r="K62" s="18" t="n">
        <v>0</v>
      </c>
      <c r="L62" s="20" t="n">
        <v>0</v>
      </c>
      <c r="M62" s="18" t="n">
        <v>100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(2418.0/B66*100)</f>
        <v/>
      </c>
      <c r="D66" s="19" t="n">
        <v>353</v>
      </c>
      <c r="E66" s="18" t="n">
        <v>0</v>
      </c>
      <c r="F66" s="20" t="n">
        <v>0</v>
      </c>
      <c r="G66" s="18" t="n">
        <v>0</v>
      </c>
      <c r="H66" s="20" t="n">
        <v>0</v>
      </c>
      <c r="I66" s="18" t="s">
        <v>349</v>
      </c>
      <c r="J66" s="20" t="s">
        <v>349</v>
      </c>
      <c r="K66" s="18" t="n">
        <v>0</v>
      </c>
      <c r="L66" s="20" t="n">
        <v>0</v>
      </c>
      <c r="M66" s="18" t="n">
        <v>100</v>
      </c>
      <c r="N66" s="20" t="n">
        <v>0</v>
      </c>
      <c r="O66" s="18" t="n">
        <v>0</v>
      </c>
      <c r="P66" s="20" t="n">
        <v>0</v>
      </c>
      <c r="Q66" s="18" t="n">
        <v>0</v>
      </c>
      <c r="R66" s="20" t="n">
        <v>0</v>
      </c>
    </row>
    <row r="67" spans="1:18">
      <c r="A67" s="15" t="s">
        <v>409</v>
      </c>
      <c r="B67" s="17" t="n">
        <v>3460</v>
      </c>
      <c r="C67" s="18">
        <f>(3039.0/B67*100)</f>
        <v/>
      </c>
      <c r="D67" s="19" t="n">
        <v>421</v>
      </c>
      <c r="E67" s="18" t="n">
        <v>0</v>
      </c>
      <c r="F67" s="20" t="n">
        <v>0</v>
      </c>
      <c r="G67" s="18" t="n">
        <v>0</v>
      </c>
      <c r="H67" s="20" t="n">
        <v>0</v>
      </c>
      <c r="I67" s="18" t="s">
        <v>349</v>
      </c>
      <c r="J67" s="20" t="s">
        <v>349</v>
      </c>
      <c r="K67" s="18" t="n">
        <v>0</v>
      </c>
      <c r="L67" s="20" t="n">
        <v>0</v>
      </c>
      <c r="M67" s="18" t="n">
        <v>100</v>
      </c>
      <c r="N67" s="20" t="n">
        <v>0</v>
      </c>
      <c r="O67" s="18" t="n">
        <v>0</v>
      </c>
      <c r="P67" s="20" t="n">
        <v>0</v>
      </c>
      <c r="Q67" s="18" t="n">
        <v>0</v>
      </c>
      <c r="R67" s="20" t="n">
        <v>0</v>
      </c>
    </row>
    <row r="68" spans="1:18">
      <c r="A68" s="15" t="s">
        <v>410</v>
      </c>
      <c r="B68" s="17" t="n">
        <v>6034</v>
      </c>
      <c r="C68" s="18">
        <f>(5027.0/B68*100)</f>
        <v/>
      </c>
      <c r="D68" s="19" t="n">
        <v>1007</v>
      </c>
      <c r="E68" s="18" t="n">
        <v>0</v>
      </c>
      <c r="F68" s="20" t="n">
        <v>0</v>
      </c>
      <c r="G68" s="18" t="n">
        <v>0</v>
      </c>
      <c r="H68" s="20" t="n">
        <v>0</v>
      </c>
      <c r="I68" s="18" t="s">
        <v>349</v>
      </c>
      <c r="J68" s="20" t="s">
        <v>349</v>
      </c>
      <c r="K68" s="18" t="n">
        <v>0</v>
      </c>
      <c r="L68" s="20" t="n">
        <v>0</v>
      </c>
      <c r="M68" s="18" t="n">
        <v>100</v>
      </c>
      <c r="N68" s="20" t="n">
        <v>0</v>
      </c>
      <c r="O68" s="18" t="n">
        <v>0</v>
      </c>
      <c r="P68" s="20" t="n">
        <v>0</v>
      </c>
      <c r="Q68" s="18" t="n">
        <v>0</v>
      </c>
      <c r="R68" s="20" t="n">
        <v>0</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(2710.0/B70*100)</f>
        <v/>
      </c>
      <c r="D70" s="19" t="n">
        <v>397</v>
      </c>
      <c r="E70" s="18" t="n">
        <v>0</v>
      </c>
      <c r="F70" s="20" t="n">
        <v>0</v>
      </c>
      <c r="G70" s="18" t="n">
        <v>0</v>
      </c>
      <c r="H70" s="20" t="n">
        <v>0</v>
      </c>
      <c r="I70" s="18" t="s">
        <v>349</v>
      </c>
      <c r="J70" s="20" t="s">
        <v>349</v>
      </c>
      <c r="K70" s="18" t="n">
        <v>0</v>
      </c>
      <c r="L70" s="20" t="n">
        <v>0</v>
      </c>
      <c r="M70" s="18" t="n">
        <v>100</v>
      </c>
      <c r="N70" s="20" t="n">
        <v>0</v>
      </c>
      <c r="O70" s="18" t="n">
        <v>0</v>
      </c>
      <c r="P70" s="20" t="n">
        <v>0</v>
      </c>
      <c r="Q70" s="18" t="n">
        <v>0</v>
      </c>
      <c r="R70" s="20" t="n">
        <v>0</v>
      </c>
    </row>
    <row r="71" spans="1:18">
      <c r="A71" s="15" t="s">
        <v>413</v>
      </c>
      <c r="B71" s="17" t="n">
        <v>2973</v>
      </c>
      <c r="C71" s="18">
        <f>(2627.0/B71*100)</f>
        <v/>
      </c>
      <c r="D71" s="19" t="n">
        <v>346</v>
      </c>
      <c r="E71" s="18" t="n">
        <v>0</v>
      </c>
      <c r="F71" s="20" t="n">
        <v>0</v>
      </c>
      <c r="G71" s="18" t="n">
        <v>0</v>
      </c>
      <c r="H71" s="20" t="n">
        <v>0</v>
      </c>
      <c r="I71" s="18" t="s">
        <v>349</v>
      </c>
      <c r="J71" s="20" t="s">
        <v>349</v>
      </c>
      <c r="K71" s="18" t="n">
        <v>0</v>
      </c>
      <c r="L71" s="20" t="n">
        <v>0</v>
      </c>
      <c r="M71" s="18" t="n">
        <v>100</v>
      </c>
      <c r="N71" s="20" t="n">
        <v>0</v>
      </c>
      <c r="O71" s="18" t="n">
        <v>0</v>
      </c>
      <c r="P71" s="20" t="n">
        <v>0</v>
      </c>
      <c r="Q71" s="18" t="n">
        <v>0</v>
      </c>
      <c r="R71" s="20" t="n">
        <v>0</v>
      </c>
    </row>
    <row r="72" spans="1:18">
      <c r="A72" s="15" t="s">
        <v>414</v>
      </c>
      <c r="B72" s="17" t="n">
        <v>3819</v>
      </c>
      <c r="C72" s="18">
        <f>(3365.0/B72*100)</f>
        <v/>
      </c>
      <c r="D72" s="19" t="n">
        <v>454</v>
      </c>
      <c r="E72" s="18" t="n">
        <v>0</v>
      </c>
      <c r="F72" s="20" t="n">
        <v>0</v>
      </c>
      <c r="G72" s="18" t="n">
        <v>0</v>
      </c>
      <c r="H72" s="20" t="n">
        <v>0</v>
      </c>
      <c r="I72" s="18" t="s">
        <v>349</v>
      </c>
      <c r="J72" s="20" t="s">
        <v>349</v>
      </c>
      <c r="K72" s="18" t="n">
        <v>0</v>
      </c>
      <c r="L72" s="20" t="n">
        <v>0</v>
      </c>
      <c r="M72" s="18" t="n">
        <v>100</v>
      </c>
      <c r="N72" s="20" t="n">
        <v>0</v>
      </c>
      <c r="O72" s="18" t="n">
        <v>0</v>
      </c>
      <c r="P72" s="20" t="n">
        <v>0</v>
      </c>
      <c r="Q72" s="18" t="n">
        <v>0</v>
      </c>
      <c r="R72" s="20" t="n">
        <v>0</v>
      </c>
    </row>
    <row r="73" spans="1:18">
      <c r="A73" s="15" t="s">
        <v>415</v>
      </c>
      <c r="B73" s="17" t="n">
        <v>4652</v>
      </c>
      <c r="C73" s="18">
        <f>(4067.0/B73*100)</f>
        <v/>
      </c>
      <c r="D73" s="19" t="n">
        <v>585</v>
      </c>
      <c r="E73" s="18" t="n">
        <v>0</v>
      </c>
      <c r="F73" s="20" t="n">
        <v>0</v>
      </c>
      <c r="G73" s="18" t="n">
        <v>0</v>
      </c>
      <c r="H73" s="20" t="n">
        <v>0</v>
      </c>
      <c r="I73" s="18" t="s">
        <v>349</v>
      </c>
      <c r="J73" s="20" t="s">
        <v>349</v>
      </c>
      <c r="K73" s="18" t="n">
        <v>0</v>
      </c>
      <c r="L73" s="20" t="n">
        <v>0</v>
      </c>
      <c r="M73" s="18" t="n">
        <v>100</v>
      </c>
      <c r="N73" s="20" t="n">
        <v>0</v>
      </c>
      <c r="O73" s="18" t="n">
        <v>0</v>
      </c>
      <c r="P73" s="20" t="n">
        <v>0</v>
      </c>
      <c r="Q73" s="18" t="n">
        <v>0</v>
      </c>
      <c r="R73" s="20" t="n">
        <v>0</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(2643.0/B75*100)</f>
        <v/>
      </c>
      <c r="D75" s="19" t="n">
        <v>326</v>
      </c>
      <c r="E75" s="18" t="n">
        <v>0</v>
      </c>
      <c r="F75" s="20" t="n">
        <v>0</v>
      </c>
      <c r="G75" s="18" t="n">
        <v>0</v>
      </c>
      <c r="H75" s="20" t="n">
        <v>0</v>
      </c>
      <c r="I75" s="18" t="s">
        <v>349</v>
      </c>
      <c r="J75" s="20" t="s">
        <v>349</v>
      </c>
      <c r="K75" s="18" t="n">
        <v>0</v>
      </c>
      <c r="L75" s="20" t="n">
        <v>0</v>
      </c>
      <c r="M75" s="18" t="n">
        <v>100</v>
      </c>
      <c r="N75" s="20" t="n">
        <v>0</v>
      </c>
      <c r="O75" s="18" t="n">
        <v>0</v>
      </c>
      <c r="P75" s="20" t="n">
        <v>0</v>
      </c>
      <c r="Q75" s="18" t="n">
        <v>0</v>
      </c>
      <c r="R75" s="20" t="n">
        <v>0</v>
      </c>
    </row>
    <row r="76" spans="1:18">
      <c r="A76" s="15" t="s">
        <v>418</v>
      </c>
      <c r="B76" s="17" t="n">
        <v>7115</v>
      </c>
      <c r="C76" s="18">
        <f>(6256.0/B76*100)</f>
        <v/>
      </c>
      <c r="D76" s="19" t="n">
        <v>859</v>
      </c>
      <c r="E76" s="18" t="n">
        <v>0</v>
      </c>
      <c r="F76" s="20" t="n">
        <v>0</v>
      </c>
      <c r="G76" s="18" t="n">
        <v>0</v>
      </c>
      <c r="H76" s="20" t="n">
        <v>0</v>
      </c>
      <c r="I76" s="18" t="s">
        <v>349</v>
      </c>
      <c r="J76" s="20" t="s">
        <v>349</v>
      </c>
      <c r="K76" s="18" t="n">
        <v>0</v>
      </c>
      <c r="L76" s="20" t="n">
        <v>0</v>
      </c>
      <c r="M76" s="18" t="n">
        <v>100</v>
      </c>
      <c r="N76" s="20" t="n">
        <v>0</v>
      </c>
      <c r="O76" s="18" t="n">
        <v>0</v>
      </c>
      <c r="P76" s="20" t="n">
        <v>0</v>
      </c>
      <c r="Q76" s="18" t="n">
        <v>0</v>
      </c>
      <c r="R76" s="20" t="n">
        <v>0</v>
      </c>
    </row>
    <row r="77" spans="1:18">
      <c r="A77" s="15" t="s">
        <v>419</v>
      </c>
      <c r="B77" s="17" t="n">
        <v>3154</v>
      </c>
      <c r="C77" s="18">
        <f>(2791.0/B77*100)</f>
        <v/>
      </c>
      <c r="D77" s="19" t="n">
        <v>363</v>
      </c>
      <c r="E77" s="18" t="n">
        <v>0</v>
      </c>
      <c r="F77" s="20" t="n">
        <v>0</v>
      </c>
      <c r="G77" s="18" t="n">
        <v>0</v>
      </c>
      <c r="H77" s="20" t="n">
        <v>0</v>
      </c>
      <c r="I77" s="18" t="s">
        <v>349</v>
      </c>
      <c r="J77" s="20" t="s">
        <v>349</v>
      </c>
      <c r="K77" s="18" t="n">
        <v>0</v>
      </c>
      <c r="L77" s="20" t="n">
        <v>0</v>
      </c>
      <c r="M77" s="18" t="n">
        <v>100</v>
      </c>
      <c r="N77" s="20" t="n">
        <v>0</v>
      </c>
      <c r="O77" s="18" t="n">
        <v>0</v>
      </c>
      <c r="P77" s="20" t="n">
        <v>0</v>
      </c>
      <c r="Q77" s="18" t="n">
        <v>0</v>
      </c>
      <c r="R77" s="20" t="n">
        <v>0</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(4120.0/B81*100)</f>
        <v/>
      </c>
      <c r="D81" s="19" t="n">
        <v>578</v>
      </c>
      <c r="E81" s="18" t="n">
        <v>0</v>
      </c>
      <c r="F81" s="20" t="n">
        <v>0</v>
      </c>
      <c r="G81" s="18" t="n">
        <v>0</v>
      </c>
      <c r="H81" s="20" t="n">
        <v>0</v>
      </c>
      <c r="I81" s="18" t="s">
        <v>349</v>
      </c>
      <c r="J81" s="20" t="s">
        <v>349</v>
      </c>
      <c r="K81" s="18" t="n">
        <v>0</v>
      </c>
      <c r="L81" s="20" t="n">
        <v>0</v>
      </c>
      <c r="M81" s="18" t="n">
        <v>100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(6349.0/B7*100)</f>
        <v/>
      </c>
      <c r="D7" s="19" t="n">
        <v>814</v>
      </c>
      <c r="E7" s="18" t="n">
        <v>66.70116186</v>
      </c>
      <c r="F7" s="20" t="n">
        <v>1.6887481</v>
      </c>
      <c r="G7" s="18" t="n">
        <v>21.9006916</v>
      </c>
      <c r="H7" s="20" t="n">
        <v>1.60469389</v>
      </c>
      <c r="I7" s="18" t="s">
        <v>349</v>
      </c>
      <c r="J7" s="20" t="s">
        <v>349</v>
      </c>
      <c r="K7" s="18" t="n">
        <v>0.49167156</v>
      </c>
      <c r="L7" s="20" t="n">
        <v>0.26023593</v>
      </c>
      <c r="M7" s="18" t="n">
        <v>0.01237314</v>
      </c>
      <c r="N7" s="20" t="n">
        <v>0.01251263</v>
      </c>
      <c r="O7" s="18" t="n">
        <v>0</v>
      </c>
      <c r="P7" s="20" t="n">
        <v>0</v>
      </c>
      <c r="Q7" s="18" t="n">
        <v>10.89410184</v>
      </c>
      <c r="R7" s="20" t="n">
        <v>1.26226855</v>
      </c>
    </row>
    <row r="8" spans="1:18">
      <c r="A8" s="15" t="s">
        <v>350</v>
      </c>
      <c r="B8" s="17" t="n">
        <v>3443</v>
      </c>
      <c r="C8" s="18">
        <f>(3044.0/B8*100)</f>
        <v/>
      </c>
      <c r="D8" s="19" t="n">
        <v>399</v>
      </c>
      <c r="E8" s="18" t="n">
        <v>71.06391298</v>
      </c>
      <c r="F8" s="20" t="n">
        <v>2.69544311</v>
      </c>
      <c r="G8" s="18" t="n">
        <v>13.39517537</v>
      </c>
      <c r="H8" s="20" t="n">
        <v>1.74350765</v>
      </c>
      <c r="I8" s="18" t="s">
        <v>349</v>
      </c>
      <c r="J8" s="20" t="s">
        <v>349</v>
      </c>
      <c r="K8" s="18" t="n">
        <v>0</v>
      </c>
      <c r="L8" s="20" t="n">
        <v>0</v>
      </c>
      <c r="M8" s="18" t="n">
        <v>0</v>
      </c>
      <c r="N8" s="20" t="n">
        <v>0</v>
      </c>
      <c r="O8" s="18" t="n">
        <v>0</v>
      </c>
      <c r="P8" s="20" t="n">
        <v>0</v>
      </c>
      <c r="Q8" s="18" t="n">
        <v>15.54091165</v>
      </c>
      <c r="R8" s="20" t="n">
        <v>2.1671746</v>
      </c>
    </row>
    <row r="9" spans="1:18">
      <c r="A9" s="15" t="s">
        <v>351</v>
      </c>
      <c r="B9" s="17" t="n">
        <v>4752</v>
      </c>
      <c r="C9" s="18">
        <f>(4204.0/B9*100)</f>
        <v/>
      </c>
      <c r="D9" s="19" t="n">
        <v>548</v>
      </c>
      <c r="E9" s="18" t="n">
        <v>71.2798682</v>
      </c>
      <c r="F9" s="20" t="n">
        <v>2.07295895</v>
      </c>
      <c r="G9" s="18" t="n">
        <v>18.3594241</v>
      </c>
      <c r="H9" s="20" t="n">
        <v>1.80020194</v>
      </c>
      <c r="I9" s="18" t="s">
        <v>349</v>
      </c>
      <c r="J9" s="20" t="s">
        <v>349</v>
      </c>
      <c r="K9" s="18" t="n">
        <v>0</v>
      </c>
      <c r="L9" s="20" t="n">
        <v>0</v>
      </c>
      <c r="M9" s="18" t="n">
        <v>0.12176933</v>
      </c>
      <c r="N9" s="20" t="n">
        <v>0.10901051</v>
      </c>
      <c r="O9" s="18" t="n">
        <v>0</v>
      </c>
      <c r="P9" s="20" t="n">
        <v>0</v>
      </c>
      <c r="Q9" s="18" t="n">
        <v>10.23893837</v>
      </c>
      <c r="R9" s="20" t="n">
        <v>1.23699691</v>
      </c>
    </row>
    <row r="10" spans="1:18">
      <c r="A10" s="15" t="s">
        <v>352</v>
      </c>
      <c r="B10" s="17" t="n">
        <v>10022</v>
      </c>
      <c r="C10" s="18">
        <f>(8807.0/B10*100)</f>
        <v/>
      </c>
      <c r="D10" s="19" t="n">
        <v>1215</v>
      </c>
      <c r="E10" s="18" t="n">
        <v>68.23852431</v>
      </c>
      <c r="F10" s="20" t="n">
        <v>1.9284895</v>
      </c>
      <c r="G10" s="18" t="n">
        <v>25.30430951</v>
      </c>
      <c r="H10" s="20" t="n">
        <v>1.62354986</v>
      </c>
      <c r="I10" s="18" t="s">
        <v>349</v>
      </c>
      <c r="J10" s="20" t="s">
        <v>349</v>
      </c>
      <c r="K10" s="18" t="n">
        <v>0.33286183</v>
      </c>
      <c r="L10" s="20" t="n">
        <v>0.30374976</v>
      </c>
      <c r="M10" s="18" t="n">
        <v>0.18854743</v>
      </c>
      <c r="N10" s="20" t="n">
        <v>0.11868578</v>
      </c>
      <c r="O10" s="18" t="n">
        <v>0</v>
      </c>
      <c r="P10" s="20" t="n">
        <v>0</v>
      </c>
      <c r="Q10" s="18" t="n">
        <v>5.93575692</v>
      </c>
      <c r="R10" s="20" t="n">
        <v>0.89092916</v>
      </c>
    </row>
    <row r="11" spans="1:18">
      <c r="A11" s="15" t="s">
        <v>353</v>
      </c>
      <c r="B11" s="17" t="n">
        <v>3500</v>
      </c>
      <c r="C11" s="18">
        <f>(3086.0/B11*100)</f>
        <v/>
      </c>
      <c r="D11" s="19" t="n">
        <v>414</v>
      </c>
      <c r="E11" s="18" t="n">
        <v>68.63859151</v>
      </c>
      <c r="F11" s="20" t="n">
        <v>2.79090196</v>
      </c>
      <c r="G11" s="18" t="n">
        <v>4.22341127</v>
      </c>
      <c r="H11" s="20" t="n">
        <v>0.89330405</v>
      </c>
      <c r="I11" s="18" t="s">
        <v>349</v>
      </c>
      <c r="J11" s="20" t="s">
        <v>349</v>
      </c>
      <c r="K11" s="18" t="n">
        <v>0</v>
      </c>
      <c r="L11" s="20" t="n">
        <v>0</v>
      </c>
      <c r="M11" s="18" t="n">
        <v>0.10735008</v>
      </c>
      <c r="N11" s="20" t="n">
        <v>0.11776018</v>
      </c>
      <c r="O11" s="18" t="n">
        <v>0</v>
      </c>
      <c r="P11" s="20" t="n">
        <v>0</v>
      </c>
      <c r="Q11" s="18" t="n">
        <v>27.03064714</v>
      </c>
      <c r="R11" s="20" t="n">
        <v>2.77094836</v>
      </c>
    </row>
    <row r="12" spans="1:18">
      <c r="A12" s="15" t="s">
        <v>354</v>
      </c>
      <c r="B12" s="17" t="n">
        <v>3422</v>
      </c>
      <c r="C12" s="18">
        <f>(2988.0/B12*100)</f>
        <v/>
      </c>
      <c r="D12" s="19" t="n">
        <v>434</v>
      </c>
      <c r="E12" s="18" t="n">
        <v>58.91448549</v>
      </c>
      <c r="F12" s="20" t="n">
        <v>2.8726972</v>
      </c>
      <c r="G12" s="18" t="n">
        <v>18.00399326</v>
      </c>
      <c r="H12" s="20" t="n">
        <v>1.84034078</v>
      </c>
      <c r="I12" s="18" t="s">
        <v>349</v>
      </c>
      <c r="J12" s="20" t="s">
        <v>349</v>
      </c>
      <c r="K12" s="18" t="n">
        <v>0</v>
      </c>
      <c r="L12" s="20" t="n">
        <v>0</v>
      </c>
      <c r="M12" s="18" t="n">
        <v>0.08765023</v>
      </c>
      <c r="N12" s="20" t="n">
        <v>0.08808104</v>
      </c>
      <c r="O12" s="18" t="n">
        <v>0</v>
      </c>
      <c r="P12" s="20" t="n">
        <v>0</v>
      </c>
      <c r="Q12" s="18" t="n">
        <v>22.99387103</v>
      </c>
      <c r="R12" s="20" t="n">
        <v>2.27749482</v>
      </c>
    </row>
    <row r="13" spans="1:18">
      <c r="A13" s="15" t="s">
        <v>355</v>
      </c>
      <c r="B13" s="17" t="n">
        <v>3602</v>
      </c>
      <c r="C13" s="18">
        <f>(3179.0/B13*100)</f>
        <v/>
      </c>
      <c r="D13" s="19" t="n">
        <v>423</v>
      </c>
      <c r="E13" s="18" t="n">
        <v>63.07607816</v>
      </c>
      <c r="F13" s="20" t="n">
        <v>2.8087296</v>
      </c>
      <c r="G13" s="18" t="n">
        <v>25.39622244</v>
      </c>
      <c r="H13" s="20" t="n">
        <v>2.66033578</v>
      </c>
      <c r="I13" s="18" t="s">
        <v>349</v>
      </c>
      <c r="J13" s="20" t="s">
        <v>349</v>
      </c>
      <c r="K13" s="18" t="n">
        <v>0.73810192</v>
      </c>
      <c r="L13" s="20" t="n">
        <v>0.55635166</v>
      </c>
      <c r="M13" s="18" t="n">
        <v>0</v>
      </c>
      <c r="N13" s="20" t="n">
        <v>0</v>
      </c>
      <c r="O13" s="18" t="n">
        <v>0</v>
      </c>
      <c r="P13" s="20" t="n">
        <v>0</v>
      </c>
      <c r="Q13" s="18" t="n">
        <v>10.78959748</v>
      </c>
      <c r="R13" s="20" t="n">
        <v>1.70476251</v>
      </c>
    </row>
    <row r="14" spans="1:18">
      <c r="A14" s="15" t="s">
        <v>356</v>
      </c>
      <c r="B14" s="17" t="n">
        <v>2788</v>
      </c>
      <c r="C14" s="18">
        <f>(2439.0/B14*100)</f>
        <v/>
      </c>
      <c r="D14" s="19" t="n">
        <v>349</v>
      </c>
      <c r="E14" s="18" t="n">
        <v>64.26536554</v>
      </c>
      <c r="F14" s="20" t="n">
        <v>2.5701706</v>
      </c>
      <c r="G14" s="18" t="n">
        <v>26.65510292</v>
      </c>
      <c r="H14" s="20" t="n">
        <v>2.39615898</v>
      </c>
      <c r="I14" s="18" t="s">
        <v>349</v>
      </c>
      <c r="J14" s="20" t="s">
        <v>349</v>
      </c>
      <c r="K14" s="18" t="n">
        <v>0</v>
      </c>
      <c r="L14" s="20" t="n">
        <v>0</v>
      </c>
      <c r="M14" s="18" t="n">
        <v>0</v>
      </c>
      <c r="N14" s="20" t="n">
        <v>0</v>
      </c>
      <c r="O14" s="18" t="n">
        <v>0</v>
      </c>
      <c r="P14" s="20" t="n">
        <v>0</v>
      </c>
      <c r="Q14" s="18" t="n">
        <v>9.07953154</v>
      </c>
      <c r="R14" s="20" t="n">
        <v>1.56842054</v>
      </c>
    </row>
    <row r="15" spans="1:18">
      <c r="A15" s="15" t="s">
        <v>357</v>
      </c>
      <c r="B15" s="17" t="n">
        <v>2863</v>
      </c>
      <c r="C15" s="18">
        <f>(2508.0/B15*100)</f>
        <v/>
      </c>
      <c r="D15" s="19" t="n">
        <v>355</v>
      </c>
      <c r="E15" s="18" t="n">
        <v>62.1983705</v>
      </c>
      <c r="F15" s="20" t="n">
        <v>2.62902931</v>
      </c>
      <c r="G15" s="18" t="n">
        <v>22.59804829</v>
      </c>
      <c r="H15" s="20" t="n">
        <v>2.37121708</v>
      </c>
      <c r="I15" s="18" t="s">
        <v>349</v>
      </c>
      <c r="J15" s="20" t="s">
        <v>349</v>
      </c>
      <c r="K15" s="18" t="n">
        <v>0.27671579</v>
      </c>
      <c r="L15" s="20" t="n">
        <v>0.27209393</v>
      </c>
      <c r="M15" s="18" t="n">
        <v>0</v>
      </c>
      <c r="N15" s="20" t="n">
        <v>0</v>
      </c>
      <c r="O15" s="18" t="n">
        <v>0</v>
      </c>
      <c r="P15" s="20" t="n">
        <v>0</v>
      </c>
      <c r="Q15" s="18" t="n">
        <v>14.92686541</v>
      </c>
      <c r="R15" s="20" t="n">
        <v>2.12416522</v>
      </c>
    </row>
    <row r="16" spans="1:18">
      <c r="A16" s="15" t="s">
        <v>358</v>
      </c>
      <c r="B16" s="17" t="n">
        <v>3111</v>
      </c>
      <c r="C16" s="18">
        <f>(2724.0/B16*100)</f>
        <v/>
      </c>
      <c r="D16" s="19" t="n">
        <v>387</v>
      </c>
      <c r="E16" s="18" t="n">
        <v>62.6594048</v>
      </c>
      <c r="F16" s="20" t="n">
        <v>2.6500456</v>
      </c>
      <c r="G16" s="18" t="n">
        <v>15.86805362</v>
      </c>
      <c r="H16" s="20" t="n">
        <v>1.94791142</v>
      </c>
      <c r="I16" s="18" t="s">
        <v>349</v>
      </c>
      <c r="J16" s="20" t="s">
        <v>349</v>
      </c>
      <c r="K16" s="18" t="n">
        <v>0.47584208</v>
      </c>
      <c r="L16" s="20" t="n">
        <v>0.37636258</v>
      </c>
      <c r="M16" s="18" t="n">
        <v>0</v>
      </c>
      <c r="N16" s="20" t="n">
        <v>0</v>
      </c>
      <c r="O16" s="18" t="n">
        <v>0</v>
      </c>
      <c r="P16" s="20" t="n">
        <v>0</v>
      </c>
      <c r="Q16" s="18" t="n">
        <v>20.9966995</v>
      </c>
      <c r="R16" s="20" t="n">
        <v>2.11149993</v>
      </c>
    </row>
    <row r="17" spans="1:18">
      <c r="A17" s="15" t="s">
        <v>359</v>
      </c>
      <c r="B17" s="17" t="n">
        <v>3197</v>
      </c>
      <c r="C17" s="18">
        <f>(2820.0/B17*100)</f>
        <v/>
      </c>
      <c r="D17" s="19" t="n">
        <v>377</v>
      </c>
      <c r="E17" s="18" t="n">
        <v>62.87682956</v>
      </c>
      <c r="F17" s="20" t="n">
        <v>2.43005848</v>
      </c>
      <c r="G17" s="18" t="n">
        <v>25.71072153</v>
      </c>
      <c r="H17" s="20" t="n">
        <v>2.38488651</v>
      </c>
      <c r="I17" s="18" t="s">
        <v>349</v>
      </c>
      <c r="J17" s="20" t="s">
        <v>349</v>
      </c>
      <c r="K17" s="18" t="n">
        <v>0.21928707</v>
      </c>
      <c r="L17" s="20" t="n">
        <v>0.15296894</v>
      </c>
      <c r="M17" s="18" t="n">
        <v>0</v>
      </c>
      <c r="N17" s="20" t="n">
        <v>0</v>
      </c>
      <c r="O17" s="18" t="n">
        <v>0</v>
      </c>
      <c r="P17" s="20" t="n">
        <v>0</v>
      </c>
      <c r="Q17" s="18" t="n">
        <v>11.19316184</v>
      </c>
      <c r="R17" s="20" t="n">
        <v>1.5647427</v>
      </c>
    </row>
    <row r="18" spans="1:18">
      <c r="A18" s="15" t="s">
        <v>360</v>
      </c>
      <c r="B18" s="17" t="n">
        <v>2706</v>
      </c>
      <c r="C18" s="18">
        <f>(2340.0/B18*100)</f>
        <v/>
      </c>
      <c r="D18" s="19" t="n">
        <v>366</v>
      </c>
      <c r="E18" s="18" t="n">
        <v>75.32919862</v>
      </c>
      <c r="F18" s="20" t="n">
        <v>2.10431216</v>
      </c>
      <c r="G18" s="18" t="n">
        <v>6.75243592</v>
      </c>
      <c r="H18" s="20" t="n">
        <v>1.3889415</v>
      </c>
      <c r="I18" s="18" t="s">
        <v>349</v>
      </c>
      <c r="J18" s="20" t="s">
        <v>349</v>
      </c>
      <c r="K18" s="18" t="n">
        <v>0.70352834</v>
      </c>
      <c r="L18" s="20" t="n">
        <v>0.69368006</v>
      </c>
      <c r="M18" s="18" t="n">
        <v>0</v>
      </c>
      <c r="N18" s="20" t="n">
        <v>0</v>
      </c>
      <c r="O18" s="18" t="n">
        <v>0</v>
      </c>
      <c r="P18" s="20" t="n">
        <v>0</v>
      </c>
      <c r="Q18" s="18" t="n">
        <v>17.21483712</v>
      </c>
      <c r="R18" s="20" t="n">
        <v>1.7806546</v>
      </c>
    </row>
    <row r="19" spans="1:18">
      <c r="A19" s="15" t="s">
        <v>361</v>
      </c>
      <c r="B19" s="17" t="n">
        <v>2850</v>
      </c>
      <c r="C19" s="18">
        <f>(2493.0/B19*100)</f>
        <v/>
      </c>
      <c r="D19" s="19" t="n">
        <v>357</v>
      </c>
      <c r="E19" s="18" t="n">
        <v>63.88671046</v>
      </c>
      <c r="F19" s="20" t="n">
        <v>3.01844765</v>
      </c>
      <c r="G19" s="18" t="n">
        <v>14.9465907</v>
      </c>
      <c r="H19" s="20" t="n">
        <v>1.74795926</v>
      </c>
      <c r="I19" s="18" t="s">
        <v>349</v>
      </c>
      <c r="J19" s="20" t="s">
        <v>349</v>
      </c>
      <c r="K19" s="18" t="n">
        <v>0</v>
      </c>
      <c r="L19" s="20" t="n">
        <v>0</v>
      </c>
      <c r="M19" s="18" t="n">
        <v>0</v>
      </c>
      <c r="N19" s="20" t="n">
        <v>0</v>
      </c>
      <c r="O19" s="18" t="n">
        <v>0</v>
      </c>
      <c r="P19" s="20" t="n">
        <v>0</v>
      </c>
      <c r="Q19" s="18" t="n">
        <v>21.16669883</v>
      </c>
      <c r="R19" s="20" t="n">
        <v>2.56492818</v>
      </c>
    </row>
    <row r="20" spans="1:18">
      <c r="A20" s="15" t="s">
        <v>362</v>
      </c>
      <c r="B20" s="17" t="n">
        <v>1741</v>
      </c>
      <c r="C20" s="18">
        <f>(1529.0/B20*100)</f>
        <v/>
      </c>
      <c r="D20" s="19" t="n">
        <v>212</v>
      </c>
      <c r="E20" s="18" t="n">
        <v>66.41051296000001</v>
      </c>
      <c r="F20" s="20" t="n">
        <v>3.53963131</v>
      </c>
      <c r="G20" s="18" t="n">
        <v>20.09436528</v>
      </c>
      <c r="H20" s="20" t="n">
        <v>2.68224009</v>
      </c>
      <c r="I20" s="18" t="s">
        <v>349</v>
      </c>
      <c r="J20" s="20" t="s">
        <v>349</v>
      </c>
      <c r="K20" s="18" t="n">
        <v>0</v>
      </c>
      <c r="L20" s="20" t="n">
        <v>0</v>
      </c>
      <c r="M20" s="18" t="n">
        <v>0</v>
      </c>
      <c r="N20" s="20" t="n">
        <v>0</v>
      </c>
      <c r="O20" s="18" t="n">
        <v>0</v>
      </c>
      <c r="P20" s="20" t="n">
        <v>0</v>
      </c>
      <c r="Q20" s="18" t="n">
        <v>13.49512176</v>
      </c>
      <c r="R20" s="20" t="n">
        <v>2.421671</v>
      </c>
    </row>
    <row r="21" spans="1:18">
      <c r="A21" s="15" t="s">
        <v>363</v>
      </c>
      <c r="B21" s="17" t="n">
        <v>2833</v>
      </c>
      <c r="C21" s="18">
        <f>(2346.0/B21*100)</f>
        <v/>
      </c>
      <c r="D21" s="19" t="n">
        <v>487</v>
      </c>
      <c r="E21" s="18" t="n">
        <v>80.03494356</v>
      </c>
      <c r="F21" s="20" t="n">
        <v>2.49941777</v>
      </c>
      <c r="G21" s="18" t="n">
        <v>13.91865001</v>
      </c>
      <c r="H21" s="20" t="n">
        <v>2.0314508</v>
      </c>
      <c r="I21" s="18" t="s">
        <v>349</v>
      </c>
      <c r="J21" s="20" t="s">
        <v>349</v>
      </c>
      <c r="K21" s="18" t="n">
        <v>0.18045307</v>
      </c>
      <c r="L21" s="20" t="n">
        <v>0.17965899</v>
      </c>
      <c r="M21" s="18" t="n">
        <v>0.25116224</v>
      </c>
      <c r="N21" s="20" t="n">
        <v>0.24882083</v>
      </c>
      <c r="O21" s="18" t="n">
        <v>0</v>
      </c>
      <c r="P21" s="20" t="n">
        <v>0</v>
      </c>
      <c r="Q21" s="18" t="n">
        <v>5.61479112</v>
      </c>
      <c r="R21" s="20" t="n">
        <v>1.15155224</v>
      </c>
    </row>
    <row r="22" spans="1:18">
      <c r="A22" s="15" t="s">
        <v>364</v>
      </c>
      <c r="B22" s="17" t="n">
        <v>3667</v>
      </c>
      <c r="C22" s="18">
        <f>(3236.0/B22*100)</f>
        <v/>
      </c>
      <c r="D22" s="19" t="n">
        <v>431</v>
      </c>
      <c r="E22" s="18" t="n">
        <v>67.03933635</v>
      </c>
      <c r="F22" s="20" t="n">
        <v>2.36896542</v>
      </c>
      <c r="G22" s="18" t="n">
        <v>11.05544723</v>
      </c>
      <c r="H22" s="20" t="n">
        <v>1.52712533</v>
      </c>
      <c r="I22" s="18" t="s">
        <v>349</v>
      </c>
      <c r="J22" s="20" t="s">
        <v>349</v>
      </c>
      <c r="K22" s="18" t="n">
        <v>0.45405088</v>
      </c>
      <c r="L22" s="20" t="n">
        <v>0.3456337</v>
      </c>
      <c r="M22" s="18" t="n">
        <v>0</v>
      </c>
      <c r="N22" s="20" t="n">
        <v>0</v>
      </c>
      <c r="O22" s="18" t="n">
        <v>0</v>
      </c>
      <c r="P22" s="20" t="n">
        <v>0</v>
      </c>
      <c r="Q22" s="18" t="n">
        <v>21.45116554</v>
      </c>
      <c r="R22" s="20" t="n">
        <v>2.27549648</v>
      </c>
    </row>
    <row r="23" spans="1:18">
      <c r="A23" s="15" t="s">
        <v>365</v>
      </c>
      <c r="B23" s="17" t="n">
        <v>5792</v>
      </c>
      <c r="C23" s="18">
        <f>(5069.0/B23*100)</f>
        <v/>
      </c>
      <c r="D23" s="19" t="n">
        <v>723</v>
      </c>
      <c r="E23" s="18" t="n">
        <v>59.47155553</v>
      </c>
      <c r="F23" s="20" t="n">
        <v>2.8714224</v>
      </c>
      <c r="G23" s="18" t="n">
        <v>16.46629638</v>
      </c>
      <c r="H23" s="20" t="n">
        <v>1.85424469</v>
      </c>
      <c r="I23" s="18" t="s">
        <v>349</v>
      </c>
      <c r="J23" s="20" t="s">
        <v>349</v>
      </c>
      <c r="K23" s="18" t="n">
        <v>0</v>
      </c>
      <c r="L23" s="20" t="n">
        <v>0</v>
      </c>
      <c r="M23" s="18" t="n">
        <v>0</v>
      </c>
      <c r="N23" s="20" t="n">
        <v>0</v>
      </c>
      <c r="O23" s="18" t="n">
        <v>0</v>
      </c>
      <c r="P23" s="20" t="n">
        <v>0</v>
      </c>
      <c r="Q23" s="18" t="n">
        <v>24.0621481</v>
      </c>
      <c r="R23" s="20" t="n">
        <v>2.21213532</v>
      </c>
    </row>
    <row r="24" spans="1:18">
      <c r="A24" s="15" t="s">
        <v>366</v>
      </c>
      <c r="B24" s="17" t="n">
        <v>3309</v>
      </c>
      <c r="C24" s="18">
        <f>(2901.0/B24*100)</f>
        <v/>
      </c>
      <c r="D24" s="19" t="n">
        <v>408</v>
      </c>
      <c r="E24" s="18" t="n">
        <v>50.80836465</v>
      </c>
      <c r="F24" s="20" t="n">
        <v>2.55824705</v>
      </c>
      <c r="G24" s="18" t="n">
        <v>40.06652698</v>
      </c>
      <c r="H24" s="20" t="n">
        <v>2.44308244</v>
      </c>
      <c r="I24" s="18" t="s">
        <v>349</v>
      </c>
      <c r="J24" s="20" t="s">
        <v>349</v>
      </c>
      <c r="K24" s="18" t="n">
        <v>0</v>
      </c>
      <c r="L24" s="20" t="n">
        <v>0</v>
      </c>
      <c r="M24" s="18" t="n">
        <v>0</v>
      </c>
      <c r="N24" s="20" t="n">
        <v>0</v>
      </c>
      <c r="O24" s="18" t="n">
        <v>0</v>
      </c>
      <c r="P24" s="20" t="n">
        <v>0</v>
      </c>
      <c r="Q24" s="18" t="n">
        <v>9.12510837</v>
      </c>
      <c r="R24" s="20" t="n">
        <v>1.43484963</v>
      </c>
    </row>
    <row r="25" spans="1:18">
      <c r="A25" s="15" t="s">
        <v>367</v>
      </c>
      <c r="B25" s="17" t="n">
        <v>2669</v>
      </c>
      <c r="C25" s="18">
        <f>(2342.0/B25*100)</f>
        <v/>
      </c>
      <c r="D25" s="19" t="n">
        <v>327</v>
      </c>
      <c r="E25" s="18" t="n">
        <v>56.78753478</v>
      </c>
      <c r="F25" s="20" t="n">
        <v>3.09241878</v>
      </c>
      <c r="G25" s="18" t="n">
        <v>30.91725751</v>
      </c>
      <c r="H25" s="20" t="n">
        <v>3.08512326</v>
      </c>
      <c r="I25" s="18" t="s">
        <v>349</v>
      </c>
      <c r="J25" s="20" t="s">
        <v>349</v>
      </c>
      <c r="K25" s="18" t="n">
        <v>0</v>
      </c>
      <c r="L25" s="20" t="n">
        <v>0</v>
      </c>
      <c r="M25" s="18" t="n">
        <v>0</v>
      </c>
      <c r="N25" s="20" t="n">
        <v>0</v>
      </c>
      <c r="O25" s="18" t="n">
        <v>0</v>
      </c>
      <c r="P25" s="20" t="n">
        <v>0</v>
      </c>
      <c r="Q25" s="18" t="n">
        <v>12.29520771</v>
      </c>
      <c r="R25" s="20" t="n">
        <v>1.68334951</v>
      </c>
    </row>
    <row r="26" spans="1:18">
      <c r="A26" s="15" t="s">
        <v>368</v>
      </c>
      <c r="B26" s="17" t="n">
        <v>2419</v>
      </c>
      <c r="C26" s="18">
        <f>(2121.0/B26*100)</f>
        <v/>
      </c>
      <c r="D26" s="19" t="n">
        <v>298</v>
      </c>
      <c r="E26" s="18" t="n">
        <v>74.24845616</v>
      </c>
      <c r="F26" s="20" t="n">
        <v>2.27325691</v>
      </c>
      <c r="G26" s="18" t="n">
        <v>14.48633484</v>
      </c>
      <c r="H26" s="20" t="n">
        <v>1.84143356</v>
      </c>
      <c r="I26" s="18" t="s">
        <v>349</v>
      </c>
      <c r="J26" s="20" t="s">
        <v>349</v>
      </c>
      <c r="K26" s="18" t="n">
        <v>0</v>
      </c>
      <c r="L26" s="20" t="n">
        <v>0</v>
      </c>
      <c r="M26" s="18" t="n">
        <v>0</v>
      </c>
      <c r="N26" s="20" t="n">
        <v>0</v>
      </c>
      <c r="O26" s="18" t="n">
        <v>0</v>
      </c>
      <c r="P26" s="20" t="n">
        <v>0</v>
      </c>
      <c r="Q26" s="18" t="n">
        <v>11.265209</v>
      </c>
      <c r="R26" s="20" t="n">
        <v>1.88572886</v>
      </c>
    </row>
    <row r="27" spans="1:18">
      <c r="A27" s="15" t="s">
        <v>369</v>
      </c>
      <c r="B27" s="17" t="n">
        <v>2683</v>
      </c>
      <c r="C27" s="18">
        <f>(2369.0/B27*100)</f>
        <v/>
      </c>
      <c r="D27" s="19" t="n">
        <v>314</v>
      </c>
      <c r="E27" s="18" t="n">
        <v>71.58447361</v>
      </c>
      <c r="F27" s="20" t="n">
        <v>2.39351357</v>
      </c>
      <c r="G27" s="18" t="n">
        <v>13.33827527</v>
      </c>
      <c r="H27" s="20" t="n">
        <v>1.78422917</v>
      </c>
      <c r="I27" s="18" t="s">
        <v>349</v>
      </c>
      <c r="J27" s="20" t="s">
        <v>349</v>
      </c>
      <c r="K27" s="18" t="n">
        <v>0</v>
      </c>
      <c r="L27" s="20" t="n">
        <v>0</v>
      </c>
      <c r="M27" s="18" t="n">
        <v>0</v>
      </c>
      <c r="N27" s="20" t="n">
        <v>0</v>
      </c>
      <c r="O27" s="18" t="n">
        <v>0</v>
      </c>
      <c r="P27" s="20" t="n">
        <v>0</v>
      </c>
      <c r="Q27" s="18" t="n">
        <v>15.07725111</v>
      </c>
      <c r="R27" s="20" t="n">
        <v>2.03310247</v>
      </c>
    </row>
    <row r="28" spans="1:18">
      <c r="A28" s="15" t="s">
        <v>370</v>
      </c>
      <c r="B28" s="17" t="n">
        <v>3803</v>
      </c>
      <c r="C28" s="18">
        <f>(3348.0/B28*100)</f>
        <v/>
      </c>
      <c r="D28" s="19" t="n">
        <v>455</v>
      </c>
      <c r="E28" s="18" t="n">
        <v>83.45736619</v>
      </c>
      <c r="F28" s="20" t="n">
        <v>1.75564011</v>
      </c>
      <c r="G28" s="18" t="n">
        <v>6.47437249</v>
      </c>
      <c r="H28" s="20" t="n">
        <v>1.17242155</v>
      </c>
      <c r="I28" s="18" t="s">
        <v>349</v>
      </c>
      <c r="J28" s="20" t="s">
        <v>349</v>
      </c>
      <c r="K28" s="18" t="n">
        <v>0.53512262</v>
      </c>
      <c r="L28" s="20" t="n">
        <v>0.49161746</v>
      </c>
      <c r="M28" s="18" t="n">
        <v>0</v>
      </c>
      <c r="N28" s="20" t="n">
        <v>0</v>
      </c>
      <c r="O28" s="18" t="n">
        <v>0</v>
      </c>
      <c r="P28" s="20" t="n">
        <v>0</v>
      </c>
      <c r="Q28" s="18" t="n">
        <v>9.5331387</v>
      </c>
      <c r="R28" s="20" t="n">
        <v>1.41047593</v>
      </c>
    </row>
    <row r="29" spans="1:18">
      <c r="A29" s="15" t="s">
        <v>371</v>
      </c>
      <c r="B29" s="17" t="n">
        <v>2700</v>
      </c>
      <c r="C29" s="18">
        <f>(2367.0/B29*100)</f>
        <v/>
      </c>
      <c r="D29" s="19" t="n">
        <v>333</v>
      </c>
      <c r="E29" s="18" t="n">
        <v>72.66648332</v>
      </c>
      <c r="F29" s="20" t="n">
        <v>2.7563058</v>
      </c>
      <c r="G29" s="18" t="n">
        <v>17.87320364</v>
      </c>
      <c r="H29" s="20" t="n">
        <v>1.7837973</v>
      </c>
      <c r="I29" s="18" t="s">
        <v>349</v>
      </c>
      <c r="J29" s="20" t="s">
        <v>349</v>
      </c>
      <c r="K29" s="18" t="n">
        <v>0</v>
      </c>
      <c r="L29" s="20" t="n">
        <v>0</v>
      </c>
      <c r="M29" s="18" t="n">
        <v>0</v>
      </c>
      <c r="N29" s="20" t="n">
        <v>0</v>
      </c>
      <c r="O29" s="18" t="n">
        <v>0</v>
      </c>
      <c r="P29" s="20" t="n">
        <v>0</v>
      </c>
      <c r="Q29" s="18" t="n">
        <v>9.460313040000001</v>
      </c>
      <c r="R29" s="20" t="n">
        <v>2.03960006</v>
      </c>
    </row>
    <row r="30" spans="1:18">
      <c r="A30" s="15" t="s">
        <v>372</v>
      </c>
      <c r="B30" s="17" t="n">
        <v>2257</v>
      </c>
      <c r="C30" s="18">
        <f>(1983.0/B30*100)</f>
        <v/>
      </c>
      <c r="D30" s="19" t="n">
        <v>274</v>
      </c>
      <c r="E30" s="18" t="n">
        <v>65.8196794</v>
      </c>
      <c r="F30" s="20" t="n">
        <v>2.50735093</v>
      </c>
      <c r="G30" s="18" t="n">
        <v>16.61447564</v>
      </c>
      <c r="H30" s="20" t="n">
        <v>2.3292366</v>
      </c>
      <c r="I30" s="18" t="s">
        <v>349</v>
      </c>
      <c r="J30" s="20" t="s">
        <v>349</v>
      </c>
      <c r="K30" s="18" t="n">
        <v>0.59398149</v>
      </c>
      <c r="L30" s="20" t="n">
        <v>0.59659163</v>
      </c>
      <c r="M30" s="18" t="n">
        <v>0</v>
      </c>
      <c r="N30" s="20" t="n">
        <v>0</v>
      </c>
      <c r="O30" s="18" t="n">
        <v>0</v>
      </c>
      <c r="P30" s="20" t="n">
        <v>0</v>
      </c>
      <c r="Q30" s="18" t="n">
        <v>16.97186347</v>
      </c>
      <c r="R30" s="20" t="n">
        <v>1.83174597</v>
      </c>
    </row>
    <row r="31" spans="1:18">
      <c r="A31" s="15" t="s">
        <v>373</v>
      </c>
      <c r="B31" s="17" t="n">
        <v>2706</v>
      </c>
      <c r="C31" s="18">
        <f>(2370.0/B31*100)</f>
        <v/>
      </c>
      <c r="D31" s="19" t="n">
        <v>336</v>
      </c>
      <c r="E31" s="18" t="n">
        <v>55.03004556</v>
      </c>
      <c r="F31" s="20" t="n">
        <v>2.74339638</v>
      </c>
      <c r="G31" s="18" t="n">
        <v>24.48428568</v>
      </c>
      <c r="H31" s="20" t="n">
        <v>2.42970541</v>
      </c>
      <c r="I31" s="18" t="s">
        <v>349</v>
      </c>
      <c r="J31" s="20" t="s">
        <v>349</v>
      </c>
      <c r="K31" s="18" t="n">
        <v>0.30147564</v>
      </c>
      <c r="L31" s="20" t="n">
        <v>0.29931857</v>
      </c>
      <c r="M31" s="18" t="n">
        <v>0</v>
      </c>
      <c r="N31" s="20" t="n">
        <v>0</v>
      </c>
      <c r="O31" s="18" t="n">
        <v>0</v>
      </c>
      <c r="P31" s="20" t="n">
        <v>0</v>
      </c>
      <c r="Q31" s="18" t="n">
        <v>20.18419312</v>
      </c>
      <c r="R31" s="20" t="n">
        <v>2.38251202</v>
      </c>
    </row>
    <row r="32" spans="1:18">
      <c r="A32" s="15" t="s">
        <v>374</v>
      </c>
      <c r="B32" s="17" t="n">
        <v>2209</v>
      </c>
      <c r="C32" s="18">
        <f>(1859.0/B32*100)</f>
        <v/>
      </c>
      <c r="D32" s="19" t="n">
        <v>350</v>
      </c>
      <c r="E32" s="18" t="n">
        <v>66.71237621</v>
      </c>
      <c r="F32" s="20" t="n">
        <v>2.36622058</v>
      </c>
      <c r="G32" s="18" t="n">
        <v>20.38099973</v>
      </c>
      <c r="H32" s="20" t="n">
        <v>2.21122473</v>
      </c>
      <c r="I32" s="18" t="s">
        <v>349</v>
      </c>
      <c r="J32" s="20" t="s">
        <v>349</v>
      </c>
      <c r="K32" s="18" t="n">
        <v>0</v>
      </c>
      <c r="L32" s="20" t="n">
        <v>0</v>
      </c>
      <c r="M32" s="18" t="n">
        <v>0</v>
      </c>
      <c r="N32" s="20" t="n">
        <v>0</v>
      </c>
      <c r="O32" s="18" t="n">
        <v>0</v>
      </c>
      <c r="P32" s="20" t="n">
        <v>0</v>
      </c>
      <c r="Q32" s="18" t="n">
        <v>12.90662406</v>
      </c>
      <c r="R32" s="20" t="n">
        <v>2.03035843</v>
      </c>
    </row>
    <row r="33" spans="1:18">
      <c r="A33" s="15" t="s">
        <v>375</v>
      </c>
      <c r="B33" s="17" t="n">
        <v>3651</v>
      </c>
      <c r="C33" s="18">
        <f>(3197.0/B33*100)</f>
        <v/>
      </c>
      <c r="D33" s="19" t="n">
        <v>454</v>
      </c>
      <c r="E33" s="18" t="n">
        <v>64.07705572</v>
      </c>
      <c r="F33" s="20" t="n">
        <v>2.71095462</v>
      </c>
      <c r="G33" s="18" t="n">
        <v>18.88535752</v>
      </c>
      <c r="H33" s="20" t="n">
        <v>2.42592075</v>
      </c>
      <c r="I33" s="18" t="s">
        <v>349</v>
      </c>
      <c r="J33" s="20" t="s">
        <v>349</v>
      </c>
      <c r="K33" s="18" t="n">
        <v>0</v>
      </c>
      <c r="L33" s="20" t="n">
        <v>0</v>
      </c>
      <c r="M33" s="18" t="n">
        <v>0.29554492</v>
      </c>
      <c r="N33" s="20" t="n">
        <v>0.25637872</v>
      </c>
      <c r="O33" s="18" t="n">
        <v>0</v>
      </c>
      <c r="P33" s="20" t="n">
        <v>0</v>
      </c>
      <c r="Q33" s="18" t="n">
        <v>16.74204184</v>
      </c>
      <c r="R33" s="20" t="n">
        <v>2.44610096</v>
      </c>
    </row>
    <row r="34" spans="1:18">
      <c r="A34" s="15" t="s">
        <v>376</v>
      </c>
      <c r="B34" s="17" t="n">
        <v>3035</v>
      </c>
      <c r="C34" s="18">
        <f>(2691.0/B34*100)</f>
        <v/>
      </c>
      <c r="D34" s="19" t="n">
        <v>344</v>
      </c>
      <c r="E34" s="18" t="n">
        <v>70.13468511000001</v>
      </c>
      <c r="F34" s="20" t="n">
        <v>2.57735851</v>
      </c>
      <c r="G34" s="18" t="n">
        <v>19.90274627</v>
      </c>
      <c r="H34" s="20" t="n">
        <v>2.14768787</v>
      </c>
      <c r="I34" s="18" t="s">
        <v>349</v>
      </c>
      <c r="J34" s="20" t="s">
        <v>349</v>
      </c>
      <c r="K34" s="18" t="n">
        <v>0</v>
      </c>
      <c r="L34" s="20" t="n">
        <v>0</v>
      </c>
      <c r="M34" s="18" t="n">
        <v>0</v>
      </c>
      <c r="N34" s="20" t="n">
        <v>0</v>
      </c>
      <c r="O34" s="18" t="n">
        <v>0</v>
      </c>
      <c r="P34" s="20" t="n">
        <v>0</v>
      </c>
      <c r="Q34" s="18" t="n">
        <v>9.962568620000001</v>
      </c>
      <c r="R34" s="20" t="n">
        <v>1.72850325</v>
      </c>
    </row>
    <row r="35" spans="1:18">
      <c r="A35" s="15" t="s">
        <v>377</v>
      </c>
      <c r="B35" s="17" t="n">
        <v>2901</v>
      </c>
      <c r="C35" s="18">
        <f>(2566.0/B35*100)</f>
        <v/>
      </c>
      <c r="D35" s="19" t="n">
        <v>335</v>
      </c>
      <c r="E35" s="18" t="n">
        <v>64.20415694</v>
      </c>
      <c r="F35" s="20" t="n">
        <v>2.67759559</v>
      </c>
      <c r="G35" s="18" t="n">
        <v>25.27371941</v>
      </c>
      <c r="H35" s="20" t="n">
        <v>2.4991617</v>
      </c>
      <c r="I35" s="18" t="s">
        <v>349</v>
      </c>
      <c r="J35" s="20" t="s">
        <v>349</v>
      </c>
      <c r="K35" s="18" t="n">
        <v>0.14036923</v>
      </c>
      <c r="L35" s="20" t="n">
        <v>0.14170915</v>
      </c>
      <c r="M35" s="18" t="n">
        <v>0</v>
      </c>
      <c r="N35" s="20" t="n">
        <v>0</v>
      </c>
      <c r="O35" s="18" t="n">
        <v>0</v>
      </c>
      <c r="P35" s="20" t="n">
        <v>0</v>
      </c>
      <c r="Q35" s="18" t="n">
        <v>10.38175442</v>
      </c>
      <c r="R35" s="20" t="n">
        <v>2.16624596</v>
      </c>
    </row>
    <row r="36" spans="1:18">
      <c r="A36" s="15" t="s">
        <v>378</v>
      </c>
      <c r="B36" s="17" t="n">
        <v>3404</v>
      </c>
      <c r="C36" s="18">
        <f>(3004.0/B36*100)</f>
        <v/>
      </c>
      <c r="D36" s="19" t="n">
        <v>400</v>
      </c>
      <c r="E36" s="18" t="n">
        <v>62.69662236</v>
      </c>
      <c r="F36" s="20" t="n">
        <v>2.86144057</v>
      </c>
      <c r="G36" s="18" t="n">
        <v>15.05842994</v>
      </c>
      <c r="H36" s="20" t="n">
        <v>2.03570203</v>
      </c>
      <c r="I36" s="18" t="s">
        <v>349</v>
      </c>
      <c r="J36" s="20" t="s">
        <v>349</v>
      </c>
      <c r="K36" s="18" t="n">
        <v>0.41052884</v>
      </c>
      <c r="L36" s="20" t="n">
        <v>0.37078142</v>
      </c>
      <c r="M36" s="18" t="n">
        <v>0</v>
      </c>
      <c r="N36" s="20" t="n">
        <v>0</v>
      </c>
      <c r="O36" s="18" t="n">
        <v>0</v>
      </c>
      <c r="P36" s="20" t="n">
        <v>0</v>
      </c>
      <c r="Q36" s="18" t="n">
        <v>21.83441887</v>
      </c>
      <c r="R36" s="20" t="n">
        <v>2.6119961</v>
      </c>
    </row>
    <row r="37" spans="1:18">
      <c r="A37" s="15" t="s">
        <v>379</v>
      </c>
      <c r="B37" s="17" t="n">
        <v>2731</v>
      </c>
      <c r="C37" s="18">
        <f>(2392.0/B37*100)</f>
        <v/>
      </c>
      <c r="D37" s="19" t="n">
        <v>339</v>
      </c>
      <c r="E37" s="18" t="n">
        <v>54.39495641</v>
      </c>
      <c r="F37" s="20" t="n">
        <v>2.84837569</v>
      </c>
      <c r="G37" s="18" t="n">
        <v>27.1909188</v>
      </c>
      <c r="H37" s="20" t="n">
        <v>2.37305052</v>
      </c>
      <c r="I37" s="18" t="s">
        <v>349</v>
      </c>
      <c r="J37" s="20" t="s">
        <v>349</v>
      </c>
      <c r="K37" s="18" t="n">
        <v>0.28476687</v>
      </c>
      <c r="L37" s="20" t="n">
        <v>0.28182451</v>
      </c>
      <c r="M37" s="18" t="n">
        <v>0</v>
      </c>
      <c r="N37" s="20" t="n">
        <v>0</v>
      </c>
      <c r="O37" s="18" t="n">
        <v>0</v>
      </c>
      <c r="P37" s="20" t="n">
        <v>0</v>
      </c>
      <c r="Q37" s="18" t="n">
        <v>18.12935792</v>
      </c>
      <c r="R37" s="20" t="n">
        <v>1.98561796</v>
      </c>
    </row>
    <row r="38" spans="1:18">
      <c r="A38" s="15" t="s">
        <v>380</v>
      </c>
      <c r="B38" s="17" t="n">
        <v>2807</v>
      </c>
      <c r="C38" s="18">
        <f>(2327.0/B38*100)</f>
        <v/>
      </c>
      <c r="D38" s="19" t="n">
        <v>480</v>
      </c>
      <c r="E38" s="18" t="n">
        <v>59.26293301</v>
      </c>
      <c r="F38" s="20" t="n">
        <v>2.99476638</v>
      </c>
      <c r="G38" s="18" t="n">
        <v>30.34681937</v>
      </c>
      <c r="H38" s="20" t="n">
        <v>2.40345139</v>
      </c>
      <c r="I38" s="18" t="s">
        <v>349</v>
      </c>
      <c r="J38" s="20" t="s">
        <v>349</v>
      </c>
      <c r="K38" s="18" t="n">
        <v>0.17507297</v>
      </c>
      <c r="L38" s="20" t="n">
        <v>0.17442941</v>
      </c>
      <c r="M38" s="18" t="n">
        <v>0</v>
      </c>
      <c r="N38" s="20" t="n">
        <v>0</v>
      </c>
      <c r="O38" s="18" t="n">
        <v>0</v>
      </c>
      <c r="P38" s="20" t="n">
        <v>0</v>
      </c>
      <c r="Q38" s="18" t="n">
        <v>10.21517466</v>
      </c>
      <c r="R38" s="20" t="n">
        <v>1.72271581</v>
      </c>
    </row>
    <row r="39" spans="1:18">
      <c r="A39" s="15" t="s">
        <v>381</v>
      </c>
      <c r="B39" s="17" t="n">
        <v>2938</v>
      </c>
      <c r="C39" s="18">
        <f>(2577.0/B39*100)</f>
        <v/>
      </c>
      <c r="D39" s="19" t="n">
        <v>361</v>
      </c>
      <c r="E39" s="18" t="n">
        <v>78.23612806</v>
      </c>
      <c r="F39" s="20" t="n">
        <v>2.28030023</v>
      </c>
      <c r="G39" s="18" t="n">
        <v>6.07936712</v>
      </c>
      <c r="H39" s="20" t="n">
        <v>1.39912131</v>
      </c>
      <c r="I39" s="18" t="s">
        <v>349</v>
      </c>
      <c r="J39" s="20" t="s">
        <v>349</v>
      </c>
      <c r="K39" s="18" t="n">
        <v>0</v>
      </c>
      <c r="L39" s="20" t="n">
        <v>0</v>
      </c>
      <c r="M39" s="18" t="n">
        <v>0</v>
      </c>
      <c r="N39" s="20" t="n">
        <v>0</v>
      </c>
      <c r="O39" s="18" t="n">
        <v>0</v>
      </c>
      <c r="P39" s="20" t="n">
        <v>0</v>
      </c>
      <c r="Q39" s="18" t="n">
        <v>15.68450482</v>
      </c>
      <c r="R39" s="20" t="n">
        <v>2.16009943</v>
      </c>
    </row>
    <row r="40" spans="1:18">
      <c r="A40" s="15" t="s">
        <v>382</v>
      </c>
      <c r="B40" s="17" t="n">
        <v>6922</v>
      </c>
      <c r="C40" s="18">
        <f>(6088.0/B40*100)</f>
        <v/>
      </c>
      <c r="D40" s="19" t="n">
        <v>834</v>
      </c>
      <c r="E40" s="18" t="n">
        <v>69.05553784</v>
      </c>
      <c r="F40" s="20" t="n">
        <v>2.39044855</v>
      </c>
      <c r="G40" s="18" t="n">
        <v>18.79968361</v>
      </c>
      <c r="H40" s="20" t="n">
        <v>1.87293837</v>
      </c>
      <c r="I40" s="18" t="s">
        <v>349</v>
      </c>
      <c r="J40" s="20" t="s">
        <v>349</v>
      </c>
      <c r="K40" s="18" t="n">
        <v>0.44358008</v>
      </c>
      <c r="L40" s="20" t="n">
        <v>0.46247799</v>
      </c>
      <c r="M40" s="18" t="n">
        <v>0</v>
      </c>
      <c r="N40" s="20" t="n">
        <v>0</v>
      </c>
      <c r="O40" s="18" t="n">
        <v>0</v>
      </c>
      <c r="P40" s="20" t="n">
        <v>0</v>
      </c>
      <c r="Q40" s="18" t="n">
        <v>11.70119847</v>
      </c>
      <c r="R40" s="20" t="n">
        <v>1.83798336</v>
      </c>
    </row>
    <row r="41" spans="1:18">
      <c r="A41" s="15" t="s">
        <v>383</v>
      </c>
      <c r="B41" s="17" t="n">
        <v>2854</v>
      </c>
      <c r="C41" s="18">
        <f>(2511.0/B41*100)</f>
        <v/>
      </c>
      <c r="D41" s="19" t="n">
        <v>343</v>
      </c>
      <c r="E41" s="18" t="n">
        <v>87.33830123</v>
      </c>
      <c r="F41" s="20" t="n">
        <v>2.03159493</v>
      </c>
      <c r="G41" s="18" t="n">
        <v>7.34739768</v>
      </c>
      <c r="H41" s="20" t="n">
        <v>1.37772683</v>
      </c>
      <c r="I41" s="18" t="s">
        <v>349</v>
      </c>
      <c r="J41" s="20" t="s">
        <v>349</v>
      </c>
      <c r="K41" s="18" t="n">
        <v>0.79849352</v>
      </c>
      <c r="L41" s="20" t="n">
        <v>0.51670256</v>
      </c>
      <c r="M41" s="18" t="n">
        <v>0</v>
      </c>
      <c r="N41" s="20" t="n">
        <v>0</v>
      </c>
      <c r="O41" s="18" t="n">
        <v>0</v>
      </c>
      <c r="P41" s="20" t="n">
        <v>0</v>
      </c>
      <c r="Q41" s="18" t="n">
        <v>4.51580756</v>
      </c>
      <c r="R41" s="20" t="n">
        <v>1.30438702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(10806.0/B46*100)</f>
        <v/>
      </c>
      <c r="D46" s="19" t="n">
        <v>1267</v>
      </c>
      <c r="E46" s="18" t="n">
        <v>68.50800507</v>
      </c>
      <c r="F46" s="20" t="n">
        <v>1.85949957</v>
      </c>
      <c r="G46" s="18" t="n">
        <v>4.3754401</v>
      </c>
      <c r="H46" s="20" t="n">
        <v>0.88136192</v>
      </c>
      <c r="I46" s="18" t="s">
        <v>349</v>
      </c>
      <c r="J46" s="20" t="s">
        <v>349</v>
      </c>
      <c r="K46" s="18" t="n">
        <v>0.76462277</v>
      </c>
      <c r="L46" s="20" t="n">
        <v>0.31804492</v>
      </c>
      <c r="M46" s="18" t="n">
        <v>0.08059421999999999</v>
      </c>
      <c r="N46" s="20" t="n">
        <v>0.05627006</v>
      </c>
      <c r="O46" s="18" t="n">
        <v>0</v>
      </c>
      <c r="P46" s="20" t="n">
        <v>0</v>
      </c>
      <c r="Q46" s="18" t="n">
        <v>26.27133784</v>
      </c>
      <c r="R46" s="20" t="n">
        <v>1.72558279</v>
      </c>
    </row>
    <row r="47" spans="1:18">
      <c r="A47" s="15" t="s">
        <v>389</v>
      </c>
      <c r="B47" s="17" t="n">
        <v>2823</v>
      </c>
      <c r="C47" s="18">
        <f>(2481.0/B47*100)</f>
        <v/>
      </c>
      <c r="D47" s="19" t="n">
        <v>342</v>
      </c>
      <c r="E47" s="18" t="n">
        <v>69.28335344</v>
      </c>
      <c r="F47" s="20" t="n">
        <v>2.7570451</v>
      </c>
      <c r="G47" s="18" t="n">
        <v>10.22273396</v>
      </c>
      <c r="H47" s="20" t="n">
        <v>2.00899823</v>
      </c>
      <c r="I47" s="18" t="s">
        <v>349</v>
      </c>
      <c r="J47" s="20" t="s">
        <v>349</v>
      </c>
      <c r="K47" s="18" t="n">
        <v>0.55021446</v>
      </c>
      <c r="L47" s="20" t="n">
        <v>0.47906616</v>
      </c>
      <c r="M47" s="18" t="n">
        <v>0</v>
      </c>
      <c r="N47" s="20" t="n">
        <v>0</v>
      </c>
      <c r="O47" s="18" t="n">
        <v>0</v>
      </c>
      <c r="P47" s="20" t="n">
        <v>0</v>
      </c>
      <c r="Q47" s="18" t="n">
        <v>19.94369814</v>
      </c>
      <c r="R47" s="20" t="n">
        <v>2.41101812</v>
      </c>
    </row>
    <row r="48" spans="1:18">
      <c r="A48" s="15" t="s">
        <v>390</v>
      </c>
      <c r="B48" s="17" t="n">
        <v>4682</v>
      </c>
      <c r="C48" s="18">
        <f>(4109.0/B48*100)</f>
        <v/>
      </c>
      <c r="D48" s="19" t="n">
        <v>573</v>
      </c>
      <c r="E48" s="18" t="n">
        <v>47.86199407</v>
      </c>
      <c r="F48" s="20" t="n">
        <v>2.77444121</v>
      </c>
      <c r="G48" s="18" t="n">
        <v>48.78437357</v>
      </c>
      <c r="H48" s="20" t="n">
        <v>2.97602807</v>
      </c>
      <c r="I48" s="18" t="s">
        <v>349</v>
      </c>
      <c r="J48" s="20" t="s">
        <v>349</v>
      </c>
      <c r="K48" s="18" t="n">
        <v>0</v>
      </c>
      <c r="L48" s="20" t="n">
        <v>0</v>
      </c>
      <c r="M48" s="18" t="n">
        <v>0</v>
      </c>
      <c r="N48" s="20" t="n">
        <v>0</v>
      </c>
      <c r="O48" s="18" t="n">
        <v>0</v>
      </c>
      <c r="P48" s="20" t="n">
        <v>0</v>
      </c>
      <c r="Q48" s="18" t="n">
        <v>3.35363235</v>
      </c>
      <c r="R48" s="20" t="n">
        <v>0.78489566</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(5413.0/B50*100)</f>
        <v/>
      </c>
      <c r="D50" s="19" t="n">
        <v>745</v>
      </c>
      <c r="E50" s="18" t="n">
        <v>85.73289235</v>
      </c>
      <c r="F50" s="20" t="n">
        <v>1.54665124</v>
      </c>
      <c r="G50" s="18" t="n">
        <v>1.79745802</v>
      </c>
      <c r="H50" s="20" t="n">
        <v>0.60142955</v>
      </c>
      <c r="I50" s="18" t="s">
        <v>349</v>
      </c>
      <c r="J50" s="20" t="s">
        <v>349</v>
      </c>
      <c r="K50" s="18" t="n">
        <v>0.06358608</v>
      </c>
      <c r="L50" s="20" t="n">
        <v>0.04604204</v>
      </c>
      <c r="M50" s="18" t="n">
        <v>1.6258003</v>
      </c>
      <c r="N50" s="20" t="n">
        <v>0.53841797</v>
      </c>
      <c r="O50" s="18" t="n">
        <v>0</v>
      </c>
      <c r="P50" s="20" t="n">
        <v>0</v>
      </c>
      <c r="Q50" s="18" t="n">
        <v>10.78026324</v>
      </c>
      <c r="R50" s="20" t="n">
        <v>1.31569457</v>
      </c>
    </row>
    <row r="51" spans="1:18">
      <c r="A51" s="15" t="s">
        <v>393</v>
      </c>
      <c r="B51" s="17" t="n">
        <v>3494</v>
      </c>
      <c r="C51" s="18">
        <f>(3101.0/B51*100)</f>
        <v/>
      </c>
      <c r="D51" s="19" t="n">
        <v>393</v>
      </c>
      <c r="E51" s="18" t="n">
        <v>73.71951298</v>
      </c>
      <c r="F51" s="20" t="n">
        <v>2.52585834</v>
      </c>
      <c r="G51" s="18" t="n">
        <v>4.08352206</v>
      </c>
      <c r="H51" s="20" t="n">
        <v>1.04648704</v>
      </c>
      <c r="I51" s="18" t="s">
        <v>349</v>
      </c>
      <c r="J51" s="20" t="s">
        <v>349</v>
      </c>
      <c r="K51" s="18" t="n">
        <v>0.21271235</v>
      </c>
      <c r="L51" s="20" t="n">
        <v>0.18000769</v>
      </c>
      <c r="M51" s="18" t="n">
        <v>0</v>
      </c>
      <c r="N51" s="20" t="n">
        <v>0</v>
      </c>
      <c r="O51" s="18" t="n">
        <v>0</v>
      </c>
      <c r="P51" s="20" t="n">
        <v>0</v>
      </c>
      <c r="Q51" s="18" t="n">
        <v>21.98425261</v>
      </c>
      <c r="R51" s="20" t="n">
        <v>2.39378643</v>
      </c>
    </row>
    <row r="52" spans="1:18">
      <c r="A52" s="15" t="s">
        <v>394</v>
      </c>
      <c r="B52" s="17" t="n">
        <v>3013</v>
      </c>
      <c r="C52" s="18">
        <f>(2637.0/B52*100)</f>
        <v/>
      </c>
      <c r="D52" s="19" t="n">
        <v>376</v>
      </c>
      <c r="E52" s="18" t="n">
        <v>64.48974102</v>
      </c>
      <c r="F52" s="20" t="n">
        <v>2.37438536</v>
      </c>
      <c r="G52" s="18" t="n">
        <v>7.98977054</v>
      </c>
      <c r="H52" s="20" t="n">
        <v>1.29528864</v>
      </c>
      <c r="I52" s="18" t="s">
        <v>349</v>
      </c>
      <c r="J52" s="20" t="s">
        <v>349</v>
      </c>
      <c r="K52" s="18" t="n">
        <v>0</v>
      </c>
      <c r="L52" s="20" t="n">
        <v>0</v>
      </c>
      <c r="M52" s="18" t="n">
        <v>0.44225268</v>
      </c>
      <c r="N52" s="20" t="n">
        <v>0.28624489</v>
      </c>
      <c r="O52" s="18" t="n">
        <v>0</v>
      </c>
      <c r="P52" s="20" t="n">
        <v>0</v>
      </c>
      <c r="Q52" s="18" t="n">
        <v>27.07823576</v>
      </c>
      <c r="R52" s="20" t="n">
        <v>2.18652439</v>
      </c>
    </row>
    <row r="53" spans="1:18">
      <c r="A53" s="15" t="s">
        <v>395</v>
      </c>
      <c r="B53" s="17" t="n">
        <v>2760</v>
      </c>
      <c r="C53" s="18">
        <f>(2409.0/B53*100)</f>
        <v/>
      </c>
      <c r="D53" s="19" t="n">
        <v>351</v>
      </c>
      <c r="E53" s="18" t="n">
        <v>76.81028239</v>
      </c>
      <c r="F53" s="20" t="n">
        <v>2.21004279</v>
      </c>
      <c r="G53" s="18" t="n">
        <v>9.27316384</v>
      </c>
      <c r="H53" s="20" t="n">
        <v>1.55188228</v>
      </c>
      <c r="I53" s="18" t="s">
        <v>349</v>
      </c>
      <c r="J53" s="20" t="s">
        <v>349</v>
      </c>
      <c r="K53" s="18" t="n">
        <v>0.40495073</v>
      </c>
      <c r="L53" s="20" t="n">
        <v>0.27655294</v>
      </c>
      <c r="M53" s="18" t="n">
        <v>0</v>
      </c>
      <c r="N53" s="20" t="n">
        <v>0</v>
      </c>
      <c r="O53" s="18" t="n">
        <v>0</v>
      </c>
      <c r="P53" s="20" t="n">
        <v>0</v>
      </c>
      <c r="Q53" s="18" t="n">
        <v>13.51160304</v>
      </c>
      <c r="R53" s="20" t="n">
        <v>1.89362847</v>
      </c>
    </row>
    <row r="54" spans="1:18">
      <c r="A54" s="15" t="s">
        <v>396</v>
      </c>
      <c r="B54" s="17" t="n">
        <v>2474</v>
      </c>
      <c r="C54" s="18">
        <f>(2083.0/B54*100)</f>
        <v/>
      </c>
      <c r="D54" s="19" t="n">
        <v>391</v>
      </c>
      <c r="E54" s="18" t="n">
        <v>59.19485249</v>
      </c>
      <c r="F54" s="20" t="n">
        <v>2.79238308</v>
      </c>
      <c r="G54" s="18" t="n">
        <v>0.97931491</v>
      </c>
      <c r="H54" s="20" t="n">
        <v>0.484677</v>
      </c>
      <c r="I54" s="18" t="s">
        <v>349</v>
      </c>
      <c r="J54" s="20" t="s">
        <v>349</v>
      </c>
      <c r="K54" s="18" t="n">
        <v>9.47846229</v>
      </c>
      <c r="L54" s="20" t="n">
        <v>1.88241726</v>
      </c>
      <c r="M54" s="18" t="n">
        <v>0.57807541</v>
      </c>
      <c r="N54" s="20" t="n">
        <v>0.64086239</v>
      </c>
      <c r="O54" s="18" t="n">
        <v>0</v>
      </c>
      <c r="P54" s="20" t="n">
        <v>0</v>
      </c>
      <c r="Q54" s="18" t="n">
        <v>29.76929489</v>
      </c>
      <c r="R54" s="20" t="n">
        <v>2.45364527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(2334.0/B56*100)</f>
        <v/>
      </c>
      <c r="D56" s="19" t="n">
        <v>341</v>
      </c>
      <c r="E56" s="18" t="n">
        <v>50.10330555</v>
      </c>
      <c r="F56" s="20" t="n">
        <v>2.77396764</v>
      </c>
      <c r="G56" s="18" t="n">
        <v>42.62435197</v>
      </c>
      <c r="H56" s="20" t="n">
        <v>2.96156033</v>
      </c>
      <c r="I56" s="18" t="s">
        <v>349</v>
      </c>
      <c r="J56" s="20" t="s">
        <v>349</v>
      </c>
      <c r="K56" s="18" t="n">
        <v>0.2679198</v>
      </c>
      <c r="L56" s="20" t="n">
        <v>0.29777268</v>
      </c>
      <c r="M56" s="18" t="n">
        <v>0</v>
      </c>
      <c r="N56" s="20" t="n">
        <v>0</v>
      </c>
      <c r="O56" s="18" t="n">
        <v>0</v>
      </c>
      <c r="P56" s="20" t="n">
        <v>0</v>
      </c>
      <c r="Q56" s="18" t="n">
        <v>7.00442268</v>
      </c>
      <c r="R56" s="20" t="n">
        <v>1.36265881</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(2814.0/B61*100)</f>
        <v/>
      </c>
      <c r="D61" s="19" t="n">
        <v>387</v>
      </c>
      <c r="E61" s="18" t="n">
        <v>65.21552074</v>
      </c>
      <c r="F61" s="20" t="n">
        <v>2.88594145</v>
      </c>
      <c r="G61" s="18" t="n">
        <v>17.30232737</v>
      </c>
      <c r="H61" s="20" t="n">
        <v>2.36742009</v>
      </c>
      <c r="I61" s="18" t="s">
        <v>349</v>
      </c>
      <c r="J61" s="20" t="s">
        <v>349</v>
      </c>
      <c r="K61" s="18" t="n">
        <v>0</v>
      </c>
      <c r="L61" s="20" t="n">
        <v>0</v>
      </c>
      <c r="M61" s="18" t="n">
        <v>0</v>
      </c>
      <c r="N61" s="20" t="n">
        <v>0</v>
      </c>
      <c r="O61" s="18" t="n">
        <v>0</v>
      </c>
      <c r="P61" s="20" t="n">
        <v>0</v>
      </c>
      <c r="Q61" s="18" t="n">
        <v>17.4821519</v>
      </c>
      <c r="R61" s="20" t="n">
        <v>2.14561102</v>
      </c>
    </row>
    <row r="62" spans="1:18">
      <c r="A62" s="15" t="s">
        <v>404</v>
      </c>
      <c r="B62" s="17" t="n">
        <v>2230</v>
      </c>
      <c r="C62" s="18">
        <f>(1944.0/B62*100)</f>
        <v/>
      </c>
      <c r="D62" s="19" t="n">
        <v>286</v>
      </c>
      <c r="E62" s="18" t="n">
        <v>51.38132902</v>
      </c>
      <c r="F62" s="20" t="n">
        <v>3.40558943</v>
      </c>
      <c r="G62" s="18" t="n">
        <v>43.74278334</v>
      </c>
      <c r="H62" s="20" t="n">
        <v>3.41400726</v>
      </c>
      <c r="I62" s="18" t="s">
        <v>349</v>
      </c>
      <c r="J62" s="20" t="s">
        <v>349</v>
      </c>
      <c r="K62" s="18" t="n">
        <v>0</v>
      </c>
      <c r="L62" s="20" t="n">
        <v>0</v>
      </c>
      <c r="M62" s="18" t="n">
        <v>0</v>
      </c>
      <c r="N62" s="20" t="n">
        <v>0</v>
      </c>
      <c r="O62" s="18" t="n">
        <v>0</v>
      </c>
      <c r="P62" s="20" t="n">
        <v>0</v>
      </c>
      <c r="Q62" s="18" t="n">
        <v>4.87588765</v>
      </c>
      <c r="R62" s="20" t="n">
        <v>1.29085112</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(2421.0/B66*100)</f>
        <v/>
      </c>
      <c r="D66" s="19" t="n">
        <v>350</v>
      </c>
      <c r="E66" s="18" t="n">
        <v>51.56111838</v>
      </c>
      <c r="F66" s="20" t="n">
        <v>2.11901116</v>
      </c>
      <c r="G66" s="18" t="n">
        <v>5.84860121</v>
      </c>
      <c r="H66" s="20" t="n">
        <v>1.29311939</v>
      </c>
      <c r="I66" s="18" t="s">
        <v>349</v>
      </c>
      <c r="J66" s="20" t="s">
        <v>349</v>
      </c>
      <c r="K66" s="18" t="n">
        <v>0.24760215</v>
      </c>
      <c r="L66" s="20" t="n">
        <v>0.24843611</v>
      </c>
      <c r="M66" s="18" t="n">
        <v>0</v>
      </c>
      <c r="N66" s="20" t="n">
        <v>0</v>
      </c>
      <c r="O66" s="18" t="n">
        <v>0</v>
      </c>
      <c r="P66" s="20" t="n">
        <v>0</v>
      </c>
      <c r="Q66" s="18" t="n">
        <v>42.34267826</v>
      </c>
      <c r="R66" s="20" t="n">
        <v>2.09877806</v>
      </c>
    </row>
    <row r="67" spans="1:18">
      <c r="A67" s="15" t="s">
        <v>409</v>
      </c>
      <c r="B67" s="17" t="n">
        <v>3460</v>
      </c>
      <c r="C67" s="18">
        <f>(3064.0/B67*100)</f>
        <v/>
      </c>
      <c r="D67" s="19" t="n">
        <v>396</v>
      </c>
      <c r="E67" s="18" t="n">
        <v>69.69702873999999</v>
      </c>
      <c r="F67" s="20" t="n">
        <v>2.43522694</v>
      </c>
      <c r="G67" s="18" t="n">
        <v>4.31204255</v>
      </c>
      <c r="H67" s="20" t="n">
        <v>1.08135212</v>
      </c>
      <c r="I67" s="18" t="s">
        <v>349</v>
      </c>
      <c r="J67" s="20" t="s">
        <v>349</v>
      </c>
      <c r="K67" s="18" t="n">
        <v>0</v>
      </c>
      <c r="L67" s="20" t="n">
        <v>0</v>
      </c>
      <c r="M67" s="18" t="n">
        <v>0</v>
      </c>
      <c r="N67" s="20" t="n">
        <v>0</v>
      </c>
      <c r="O67" s="18" t="n">
        <v>0</v>
      </c>
      <c r="P67" s="20" t="n">
        <v>0</v>
      </c>
      <c r="Q67" s="18" t="n">
        <v>25.99092871</v>
      </c>
      <c r="R67" s="20" t="n">
        <v>2.27982073</v>
      </c>
    </row>
    <row r="68" spans="1:18">
      <c r="A68" s="15" t="s">
        <v>410</v>
      </c>
      <c r="B68" s="17" t="n">
        <v>6034</v>
      </c>
      <c r="C68" s="18">
        <f>(5029.0/B68*100)</f>
        <v/>
      </c>
      <c r="D68" s="19" t="n">
        <v>1005</v>
      </c>
      <c r="E68" s="18" t="n">
        <v>78.96704839</v>
      </c>
      <c r="F68" s="20" t="n">
        <v>1.20087571</v>
      </c>
      <c r="G68" s="18" t="n">
        <v>7.2329987</v>
      </c>
      <c r="H68" s="20" t="n">
        <v>0.81339786</v>
      </c>
      <c r="I68" s="18" t="s">
        <v>349</v>
      </c>
      <c r="J68" s="20" t="s">
        <v>349</v>
      </c>
      <c r="K68" s="18" t="n">
        <v>1.47194291</v>
      </c>
      <c r="L68" s="20" t="n">
        <v>0.37882863</v>
      </c>
      <c r="M68" s="18" t="n">
        <v>0.09680453</v>
      </c>
      <c r="N68" s="20" t="n">
        <v>0.09666208</v>
      </c>
      <c r="O68" s="18" t="n">
        <v>0</v>
      </c>
      <c r="P68" s="20" t="n">
        <v>0</v>
      </c>
      <c r="Q68" s="18" t="n">
        <v>12.23120547</v>
      </c>
      <c r="R68" s="20" t="n">
        <v>0.95327266</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(2722.0/B70*100)</f>
        <v/>
      </c>
      <c r="D70" s="19" t="n">
        <v>385</v>
      </c>
      <c r="E70" s="18" t="n">
        <v>60.21126262</v>
      </c>
      <c r="F70" s="20" t="n">
        <v>3.00127463</v>
      </c>
      <c r="G70" s="18" t="n">
        <v>19.56282601</v>
      </c>
      <c r="H70" s="20" t="n">
        <v>2.23710297</v>
      </c>
      <c r="I70" s="18" t="s">
        <v>349</v>
      </c>
      <c r="J70" s="20" t="s">
        <v>349</v>
      </c>
      <c r="K70" s="18" t="n">
        <v>0</v>
      </c>
      <c r="L70" s="20" t="n">
        <v>0</v>
      </c>
      <c r="M70" s="18" t="n">
        <v>2.57312274</v>
      </c>
      <c r="N70" s="20" t="n">
        <v>1.33779623</v>
      </c>
      <c r="O70" s="18" t="n">
        <v>0</v>
      </c>
      <c r="P70" s="20" t="n">
        <v>0</v>
      </c>
      <c r="Q70" s="18" t="n">
        <v>17.65278863</v>
      </c>
      <c r="R70" s="20" t="n">
        <v>2.31621925</v>
      </c>
    </row>
    <row r="71" spans="1:18">
      <c r="A71" s="15" t="s">
        <v>413</v>
      </c>
      <c r="B71" s="17" t="n">
        <v>2973</v>
      </c>
      <c r="C71" s="18">
        <f>(2627.0/B71*100)</f>
        <v/>
      </c>
      <c r="D71" s="19" t="n">
        <v>346</v>
      </c>
      <c r="E71" s="18" t="n">
        <v>47.85857876</v>
      </c>
      <c r="F71" s="20" t="n">
        <v>3.00222282</v>
      </c>
      <c r="G71" s="18" t="n">
        <v>49.35766792</v>
      </c>
      <c r="H71" s="20" t="n">
        <v>2.92050015</v>
      </c>
      <c r="I71" s="18" t="s">
        <v>349</v>
      </c>
      <c r="J71" s="20" t="s">
        <v>349</v>
      </c>
      <c r="K71" s="18" t="n">
        <v>0</v>
      </c>
      <c r="L71" s="20" t="n">
        <v>0</v>
      </c>
      <c r="M71" s="18" t="n">
        <v>0</v>
      </c>
      <c r="N71" s="20" t="n">
        <v>0</v>
      </c>
      <c r="O71" s="18" t="n">
        <v>0</v>
      </c>
      <c r="P71" s="20" t="n">
        <v>0</v>
      </c>
      <c r="Q71" s="18" t="n">
        <v>2.78375332</v>
      </c>
      <c r="R71" s="20" t="n">
        <v>0.80383388</v>
      </c>
    </row>
    <row r="72" spans="1:18">
      <c r="A72" s="15" t="s">
        <v>414</v>
      </c>
      <c r="B72" s="17" t="n">
        <v>3819</v>
      </c>
      <c r="C72" s="18">
        <f>(3365.0/B72*100)</f>
        <v/>
      </c>
      <c r="D72" s="19" t="n">
        <v>454</v>
      </c>
      <c r="E72" s="18" t="n">
        <v>41.32193116</v>
      </c>
      <c r="F72" s="20" t="n">
        <v>2.55377178</v>
      </c>
      <c r="G72" s="18" t="n">
        <v>52.0121213</v>
      </c>
      <c r="H72" s="20" t="n">
        <v>2.67933251</v>
      </c>
      <c r="I72" s="18" t="s">
        <v>349</v>
      </c>
      <c r="J72" s="20" t="s">
        <v>349</v>
      </c>
      <c r="K72" s="18" t="n">
        <v>0.29083467</v>
      </c>
      <c r="L72" s="20" t="n">
        <v>0.28984997</v>
      </c>
      <c r="M72" s="18" t="n">
        <v>0</v>
      </c>
      <c r="N72" s="20" t="n">
        <v>0</v>
      </c>
      <c r="O72" s="18" t="n">
        <v>0</v>
      </c>
      <c r="P72" s="20" t="n">
        <v>0</v>
      </c>
      <c r="Q72" s="18" t="n">
        <v>6.37511287</v>
      </c>
      <c r="R72" s="20" t="n">
        <v>1.4150686</v>
      </c>
    </row>
    <row r="73" spans="1:18">
      <c r="A73" s="15" t="s">
        <v>415</v>
      </c>
      <c r="B73" s="17" t="n">
        <v>4652</v>
      </c>
      <c r="C73" s="18">
        <f>(4084.0/B73*100)</f>
        <v/>
      </c>
      <c r="D73" s="19" t="n">
        <v>568</v>
      </c>
      <c r="E73" s="18" t="n">
        <v>89.38107914</v>
      </c>
      <c r="F73" s="20" t="n">
        <v>1.53869578</v>
      </c>
      <c r="G73" s="18" t="n">
        <v>6.08776451</v>
      </c>
      <c r="H73" s="20" t="n">
        <v>1.16990061</v>
      </c>
      <c r="I73" s="18" t="s">
        <v>349</v>
      </c>
      <c r="J73" s="20" t="s">
        <v>349</v>
      </c>
      <c r="K73" s="18" t="n">
        <v>0.06339891</v>
      </c>
      <c r="L73" s="20" t="n">
        <v>0.0667894</v>
      </c>
      <c r="M73" s="18" t="n">
        <v>0.11214469</v>
      </c>
      <c r="N73" s="20" t="n">
        <v>0.11251471</v>
      </c>
      <c r="O73" s="18" t="n">
        <v>0</v>
      </c>
      <c r="P73" s="20" t="n">
        <v>0</v>
      </c>
      <c r="Q73" s="18" t="n">
        <v>4.35561275</v>
      </c>
      <c r="R73" s="20" t="n">
        <v>1.0842464</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(2647.0/B75*100)</f>
        <v/>
      </c>
      <c r="D75" s="19" t="n">
        <v>322</v>
      </c>
      <c r="E75" s="18" t="n">
        <v>65.19730111</v>
      </c>
      <c r="F75" s="20" t="n">
        <v>2.7769737</v>
      </c>
      <c r="G75" s="18" t="n">
        <v>4.60282442</v>
      </c>
      <c r="H75" s="20" t="n">
        <v>1.10659851</v>
      </c>
      <c r="I75" s="18" t="s">
        <v>349</v>
      </c>
      <c r="J75" s="20" t="s">
        <v>349</v>
      </c>
      <c r="K75" s="18" t="n">
        <v>1.32527205</v>
      </c>
      <c r="L75" s="20" t="n">
        <v>0.5607360300000001</v>
      </c>
      <c r="M75" s="18" t="n">
        <v>0.98368038</v>
      </c>
      <c r="N75" s="20" t="n">
        <v>0.54381402</v>
      </c>
      <c r="O75" s="18" t="n">
        <v>0</v>
      </c>
      <c r="P75" s="20" t="n">
        <v>0</v>
      </c>
      <c r="Q75" s="18" t="n">
        <v>27.89092204</v>
      </c>
      <c r="R75" s="20" t="n">
        <v>2.69682531</v>
      </c>
    </row>
    <row r="76" spans="1:18">
      <c r="A76" s="15" t="s">
        <v>418</v>
      </c>
      <c r="B76" s="17" t="n">
        <v>7115</v>
      </c>
      <c r="C76" s="18">
        <f>(6257.0/B76*100)</f>
        <v/>
      </c>
      <c r="D76" s="19" t="n">
        <v>858</v>
      </c>
      <c r="E76" s="18" t="n">
        <v>81.21962945</v>
      </c>
      <c r="F76" s="20" t="n">
        <v>1.60714102</v>
      </c>
      <c r="G76" s="18" t="n">
        <v>9.53570554</v>
      </c>
      <c r="H76" s="20" t="n">
        <v>1.64624958</v>
      </c>
      <c r="I76" s="18" t="s">
        <v>349</v>
      </c>
      <c r="J76" s="20" t="s">
        <v>349</v>
      </c>
      <c r="K76" s="18" t="n">
        <v>0.55474127</v>
      </c>
      <c r="L76" s="20" t="n">
        <v>0.30155438</v>
      </c>
      <c r="M76" s="18" t="n">
        <v>0.03742071</v>
      </c>
      <c r="N76" s="20" t="n">
        <v>0.0376485</v>
      </c>
      <c r="O76" s="18" t="n">
        <v>0</v>
      </c>
      <c r="P76" s="20" t="n">
        <v>0</v>
      </c>
      <c r="Q76" s="18" t="n">
        <v>8.652503039999999</v>
      </c>
      <c r="R76" s="20" t="n">
        <v>1.22937532</v>
      </c>
    </row>
    <row r="77" spans="1:18">
      <c r="A77" s="15" t="s">
        <v>419</v>
      </c>
      <c r="B77" s="17" t="n">
        <v>3154</v>
      </c>
      <c r="C77" s="18">
        <f>(2795.0/B77*100)</f>
        <v/>
      </c>
      <c r="D77" s="19" t="n">
        <v>359</v>
      </c>
      <c r="E77" s="18" t="n">
        <v>53.08297066</v>
      </c>
      <c r="F77" s="20" t="n">
        <v>2.5933998</v>
      </c>
      <c r="G77" s="18" t="n">
        <v>1.87579443</v>
      </c>
      <c r="H77" s="20" t="n">
        <v>0.68377099</v>
      </c>
      <c r="I77" s="18" t="s">
        <v>349</v>
      </c>
      <c r="J77" s="20" t="s">
        <v>349</v>
      </c>
      <c r="K77" s="18" t="n">
        <v>0.5411742899999999</v>
      </c>
      <c r="L77" s="20" t="n">
        <v>0.29694849</v>
      </c>
      <c r="M77" s="18" t="n">
        <v>7.17209092</v>
      </c>
      <c r="N77" s="20" t="n">
        <v>1.34875367</v>
      </c>
      <c r="O77" s="18" t="n">
        <v>0</v>
      </c>
      <c r="P77" s="20" t="n">
        <v>0</v>
      </c>
      <c r="Q77" s="18" t="n">
        <v>37.3279697</v>
      </c>
      <c r="R77" s="20" t="n">
        <v>2.5105294</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(4123.0/B81*100)</f>
        <v/>
      </c>
      <c r="D81" s="19" t="n">
        <v>575</v>
      </c>
      <c r="E81" s="18" t="n">
        <v>78.94407678</v>
      </c>
      <c r="F81" s="20" t="n">
        <v>2.29975566</v>
      </c>
      <c r="G81" s="18" t="n">
        <v>16.61742307</v>
      </c>
      <c r="H81" s="20" t="n">
        <v>1.98867446</v>
      </c>
      <c r="I81" s="18" t="s">
        <v>349</v>
      </c>
      <c r="J81" s="20" t="s">
        <v>349</v>
      </c>
      <c r="K81" s="18" t="n">
        <v>0.23666596</v>
      </c>
      <c r="L81" s="20" t="n">
        <v>0.23502724</v>
      </c>
      <c r="M81" s="18" t="n">
        <v>0.2264441</v>
      </c>
      <c r="N81" s="20" t="n">
        <v>0.2263225</v>
      </c>
      <c r="O81" s="18" t="n">
        <v>0</v>
      </c>
      <c r="P81" s="20" t="n">
        <v>0</v>
      </c>
      <c r="Q81" s="18" t="n">
        <v>3.9753901</v>
      </c>
      <c r="R81" s="20" t="n">
        <v>1.00095152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(6349.0/B7*100)</f>
        <v/>
      </c>
      <c r="D7" s="19" t="n">
        <v>814</v>
      </c>
      <c r="E7" s="18" t="n">
        <v>67.77426565</v>
      </c>
      <c r="F7" s="20" t="n">
        <v>1.79410622</v>
      </c>
      <c r="G7" s="18" t="n">
        <v>11.92306365</v>
      </c>
      <c r="H7" s="20" t="n">
        <v>1.28384566</v>
      </c>
      <c r="I7" s="18" t="s">
        <v>349</v>
      </c>
      <c r="J7" s="20" t="s">
        <v>349</v>
      </c>
      <c r="K7" s="18" t="n">
        <v>0.55511858</v>
      </c>
      <c r="L7" s="20" t="n">
        <v>0.26014689</v>
      </c>
      <c r="M7" s="18" t="n">
        <v>0.01237314</v>
      </c>
      <c r="N7" s="20" t="n">
        <v>0.01251263</v>
      </c>
      <c r="O7" s="18" t="n">
        <v>0</v>
      </c>
      <c r="P7" s="20" t="n">
        <v>0</v>
      </c>
      <c r="Q7" s="18" t="n">
        <v>19.73517898</v>
      </c>
      <c r="R7" s="20" t="n">
        <v>1.64008451</v>
      </c>
    </row>
    <row r="8" spans="1:18">
      <c r="A8" s="15" t="s">
        <v>350</v>
      </c>
      <c r="B8" s="17" t="n">
        <v>3443</v>
      </c>
      <c r="C8" s="18">
        <f>(3044.0/B8*100)</f>
        <v/>
      </c>
      <c r="D8" s="19" t="n">
        <v>399</v>
      </c>
      <c r="E8" s="18" t="n">
        <v>50.90908735</v>
      </c>
      <c r="F8" s="20" t="n">
        <v>2.5612545</v>
      </c>
      <c r="G8" s="18" t="n">
        <v>9.48062552</v>
      </c>
      <c r="H8" s="20" t="n">
        <v>1.46970324</v>
      </c>
      <c r="I8" s="18" t="s">
        <v>349</v>
      </c>
      <c r="J8" s="20" t="s">
        <v>349</v>
      </c>
      <c r="K8" s="18" t="n">
        <v>0</v>
      </c>
      <c r="L8" s="20" t="n">
        <v>0</v>
      </c>
      <c r="M8" s="18" t="n">
        <v>0</v>
      </c>
      <c r="N8" s="20" t="n">
        <v>0</v>
      </c>
      <c r="O8" s="18" t="n">
        <v>0</v>
      </c>
      <c r="P8" s="20" t="n">
        <v>0</v>
      </c>
      <c r="Q8" s="18" t="n">
        <v>39.61028713</v>
      </c>
      <c r="R8" s="20" t="n">
        <v>2.37097463</v>
      </c>
    </row>
    <row r="9" spans="1:18">
      <c r="A9" s="15" t="s">
        <v>351</v>
      </c>
      <c r="B9" s="17" t="n">
        <v>4752</v>
      </c>
      <c r="C9" s="18">
        <f>(4204.0/B9*100)</f>
        <v/>
      </c>
      <c r="D9" s="19" t="n">
        <v>548</v>
      </c>
      <c r="E9" s="18" t="n">
        <v>58.64872776</v>
      </c>
      <c r="F9" s="20" t="n">
        <v>2.12728357</v>
      </c>
      <c r="G9" s="18" t="n">
        <v>12.11479129</v>
      </c>
      <c r="H9" s="20" t="n">
        <v>1.64103113</v>
      </c>
      <c r="I9" s="18" t="s">
        <v>349</v>
      </c>
      <c r="J9" s="20" t="s">
        <v>349</v>
      </c>
      <c r="K9" s="18" t="n">
        <v>0</v>
      </c>
      <c r="L9" s="20" t="n">
        <v>0</v>
      </c>
      <c r="M9" s="18" t="n">
        <v>0.12176933</v>
      </c>
      <c r="N9" s="20" t="n">
        <v>0.10901051</v>
      </c>
      <c r="O9" s="18" t="n">
        <v>0</v>
      </c>
      <c r="P9" s="20" t="n">
        <v>0</v>
      </c>
      <c r="Q9" s="18" t="n">
        <v>29.11471161</v>
      </c>
      <c r="R9" s="20" t="n">
        <v>1.8407817</v>
      </c>
    </row>
    <row r="10" spans="1:18">
      <c r="A10" s="15" t="s">
        <v>352</v>
      </c>
      <c r="B10" s="17" t="n">
        <v>10022</v>
      </c>
      <c r="C10" s="18">
        <f>(8807.0/B10*100)</f>
        <v/>
      </c>
      <c r="D10" s="19" t="n">
        <v>1215</v>
      </c>
      <c r="E10" s="18" t="n">
        <v>68.39750271</v>
      </c>
      <c r="F10" s="20" t="n">
        <v>1.66312187</v>
      </c>
      <c r="G10" s="18" t="n">
        <v>13.60480888</v>
      </c>
      <c r="H10" s="20" t="n">
        <v>1.41832196</v>
      </c>
      <c r="I10" s="18" t="s">
        <v>349</v>
      </c>
      <c r="J10" s="20" t="s">
        <v>349</v>
      </c>
      <c r="K10" s="18" t="n">
        <v>0.3413441</v>
      </c>
      <c r="L10" s="20" t="n">
        <v>0.30385721</v>
      </c>
      <c r="M10" s="18" t="n">
        <v>0.18854743</v>
      </c>
      <c r="N10" s="20" t="n">
        <v>0.11868578</v>
      </c>
      <c r="O10" s="18" t="n">
        <v>0</v>
      </c>
      <c r="P10" s="20" t="n">
        <v>0</v>
      </c>
      <c r="Q10" s="18" t="n">
        <v>17.46779688</v>
      </c>
      <c r="R10" s="20" t="n">
        <v>1.34011489</v>
      </c>
    </row>
    <row r="11" spans="1:18">
      <c r="A11" s="15" t="s">
        <v>353</v>
      </c>
      <c r="B11" s="17" t="n">
        <v>3500</v>
      </c>
      <c r="C11" s="18">
        <f>(3085.0/B11*100)</f>
        <v/>
      </c>
      <c r="D11" s="19" t="n">
        <v>415</v>
      </c>
      <c r="E11" s="18" t="n">
        <v>50.71289194</v>
      </c>
      <c r="F11" s="20" t="n">
        <v>2.49316922</v>
      </c>
      <c r="G11" s="18" t="n">
        <v>3.39623669</v>
      </c>
      <c r="H11" s="20" t="n">
        <v>1.01654999</v>
      </c>
      <c r="I11" s="18" t="s">
        <v>349</v>
      </c>
      <c r="J11" s="20" t="s">
        <v>349</v>
      </c>
      <c r="K11" s="18" t="n">
        <v>0</v>
      </c>
      <c r="L11" s="20" t="n">
        <v>0</v>
      </c>
      <c r="M11" s="18" t="n">
        <v>0.10727614</v>
      </c>
      <c r="N11" s="20" t="n">
        <v>0.1176783</v>
      </c>
      <c r="O11" s="18" t="n">
        <v>0</v>
      </c>
      <c r="P11" s="20" t="n">
        <v>0</v>
      </c>
      <c r="Q11" s="18" t="n">
        <v>45.78359524</v>
      </c>
      <c r="R11" s="20" t="n">
        <v>2.64445754</v>
      </c>
    </row>
    <row r="12" spans="1:18">
      <c r="A12" s="15" t="s">
        <v>354</v>
      </c>
      <c r="B12" s="17" t="n">
        <v>3422</v>
      </c>
      <c r="C12" s="18">
        <f>(2988.0/B12*100)</f>
        <v/>
      </c>
      <c r="D12" s="19" t="n">
        <v>434</v>
      </c>
      <c r="E12" s="18" t="n">
        <v>62.57251922</v>
      </c>
      <c r="F12" s="20" t="n">
        <v>2.74330457</v>
      </c>
      <c r="G12" s="18" t="n">
        <v>6.23444132</v>
      </c>
      <c r="H12" s="20" t="n">
        <v>1.18669668</v>
      </c>
      <c r="I12" s="18" t="s">
        <v>349</v>
      </c>
      <c r="J12" s="20" t="s">
        <v>349</v>
      </c>
      <c r="K12" s="18" t="n">
        <v>0</v>
      </c>
      <c r="L12" s="20" t="n">
        <v>0</v>
      </c>
      <c r="M12" s="18" t="n">
        <v>0.08765023</v>
      </c>
      <c r="N12" s="20" t="n">
        <v>0.08808104</v>
      </c>
      <c r="O12" s="18" t="n">
        <v>0</v>
      </c>
      <c r="P12" s="20" t="n">
        <v>0</v>
      </c>
      <c r="Q12" s="18" t="n">
        <v>31.10538924</v>
      </c>
      <c r="R12" s="20" t="n">
        <v>2.81845092</v>
      </c>
    </row>
    <row r="13" spans="1:18">
      <c r="A13" s="15" t="s">
        <v>355</v>
      </c>
      <c r="B13" s="17" t="n">
        <v>3602</v>
      </c>
      <c r="C13" s="18">
        <f>(3179.0/B13*100)</f>
        <v/>
      </c>
      <c r="D13" s="19" t="n">
        <v>423</v>
      </c>
      <c r="E13" s="18" t="n">
        <v>60.14957341</v>
      </c>
      <c r="F13" s="20" t="n">
        <v>2.56897433</v>
      </c>
      <c r="G13" s="18" t="n">
        <v>16.31291701</v>
      </c>
      <c r="H13" s="20" t="n">
        <v>2.26685596</v>
      </c>
      <c r="I13" s="18" t="s">
        <v>349</v>
      </c>
      <c r="J13" s="20" t="s">
        <v>349</v>
      </c>
      <c r="K13" s="18" t="n">
        <v>0.73810192</v>
      </c>
      <c r="L13" s="20" t="n">
        <v>0.55635166</v>
      </c>
      <c r="M13" s="18" t="n">
        <v>0</v>
      </c>
      <c r="N13" s="20" t="n">
        <v>0</v>
      </c>
      <c r="O13" s="18" t="n">
        <v>0</v>
      </c>
      <c r="P13" s="20" t="n">
        <v>0</v>
      </c>
      <c r="Q13" s="18" t="n">
        <v>22.79940767</v>
      </c>
      <c r="R13" s="20" t="n">
        <v>2.35153468</v>
      </c>
    </row>
    <row r="14" spans="1:18">
      <c r="A14" s="15" t="s">
        <v>356</v>
      </c>
      <c r="B14" s="17" t="n">
        <v>2788</v>
      </c>
      <c r="C14" s="18">
        <f>(2439.0/B14*100)</f>
        <v/>
      </c>
      <c r="D14" s="19" t="n">
        <v>349</v>
      </c>
      <c r="E14" s="18" t="n">
        <v>63.90098409</v>
      </c>
      <c r="F14" s="20" t="n">
        <v>2.35062798</v>
      </c>
      <c r="G14" s="18" t="n">
        <v>14.41501359</v>
      </c>
      <c r="H14" s="20" t="n">
        <v>1.57914349</v>
      </c>
      <c r="I14" s="18" t="s">
        <v>349</v>
      </c>
      <c r="J14" s="20" t="s">
        <v>349</v>
      </c>
      <c r="K14" s="18" t="n">
        <v>0.46071791</v>
      </c>
      <c r="L14" s="20" t="n">
        <v>0.31833944</v>
      </c>
      <c r="M14" s="18" t="n">
        <v>0</v>
      </c>
      <c r="N14" s="20" t="n">
        <v>0</v>
      </c>
      <c r="O14" s="18" t="n">
        <v>0</v>
      </c>
      <c r="P14" s="20" t="n">
        <v>0</v>
      </c>
      <c r="Q14" s="18" t="n">
        <v>21.22328442</v>
      </c>
      <c r="R14" s="20" t="n">
        <v>2.09287306</v>
      </c>
    </row>
    <row r="15" spans="1:18">
      <c r="A15" s="15" t="s">
        <v>357</v>
      </c>
      <c r="B15" s="17" t="n">
        <v>2863</v>
      </c>
      <c r="C15" s="18">
        <f>(2508.0/B15*100)</f>
        <v/>
      </c>
      <c r="D15" s="19" t="n">
        <v>355</v>
      </c>
      <c r="E15" s="18" t="n">
        <v>67.94112744</v>
      </c>
      <c r="F15" s="20" t="n">
        <v>2.54187702</v>
      </c>
      <c r="G15" s="18" t="n">
        <v>8.614523480000001</v>
      </c>
      <c r="H15" s="20" t="n">
        <v>1.50551705</v>
      </c>
      <c r="I15" s="18" t="s">
        <v>349</v>
      </c>
      <c r="J15" s="20" t="s">
        <v>349</v>
      </c>
      <c r="K15" s="18" t="n">
        <v>0.27671579</v>
      </c>
      <c r="L15" s="20" t="n">
        <v>0.27209393</v>
      </c>
      <c r="M15" s="18" t="n">
        <v>0</v>
      </c>
      <c r="N15" s="20" t="n">
        <v>0</v>
      </c>
      <c r="O15" s="18" t="n">
        <v>0</v>
      </c>
      <c r="P15" s="20" t="n">
        <v>0</v>
      </c>
      <c r="Q15" s="18" t="n">
        <v>23.16763328</v>
      </c>
      <c r="R15" s="20" t="n">
        <v>2.44274281</v>
      </c>
    </row>
    <row r="16" spans="1:18">
      <c r="A16" s="15" t="s">
        <v>358</v>
      </c>
      <c r="B16" s="17" t="n">
        <v>3111</v>
      </c>
      <c r="C16" s="18">
        <f>(2724.0/B16*100)</f>
        <v/>
      </c>
      <c r="D16" s="19" t="n">
        <v>387</v>
      </c>
      <c r="E16" s="18" t="n">
        <v>49.30155932</v>
      </c>
      <c r="F16" s="20" t="n">
        <v>2.73436134</v>
      </c>
      <c r="G16" s="18" t="n">
        <v>9.488818200000001</v>
      </c>
      <c r="H16" s="20" t="n">
        <v>1.32394991</v>
      </c>
      <c r="I16" s="18" t="s">
        <v>349</v>
      </c>
      <c r="J16" s="20" t="s">
        <v>349</v>
      </c>
      <c r="K16" s="18" t="n">
        <v>0.47584208</v>
      </c>
      <c r="L16" s="20" t="n">
        <v>0.37636258</v>
      </c>
      <c r="M16" s="18" t="n">
        <v>0</v>
      </c>
      <c r="N16" s="20" t="n">
        <v>0</v>
      </c>
      <c r="O16" s="18" t="n">
        <v>0</v>
      </c>
      <c r="P16" s="20" t="n">
        <v>0</v>
      </c>
      <c r="Q16" s="18" t="n">
        <v>40.7337804</v>
      </c>
      <c r="R16" s="20" t="n">
        <v>2.68360973</v>
      </c>
    </row>
    <row r="17" spans="1:18">
      <c r="A17" s="15" t="s">
        <v>359</v>
      </c>
      <c r="B17" s="17" t="n">
        <v>3197</v>
      </c>
      <c r="C17" s="18">
        <f>(2820.0/B17*100)</f>
        <v/>
      </c>
      <c r="D17" s="19" t="n">
        <v>377</v>
      </c>
      <c r="E17" s="18" t="n">
        <v>63.28552334</v>
      </c>
      <c r="F17" s="20" t="n">
        <v>2.31950541</v>
      </c>
      <c r="G17" s="18" t="n">
        <v>9.96379454</v>
      </c>
      <c r="H17" s="20" t="n">
        <v>1.69074098</v>
      </c>
      <c r="I17" s="18" t="s">
        <v>349</v>
      </c>
      <c r="J17" s="20" t="s">
        <v>349</v>
      </c>
      <c r="K17" s="18" t="n">
        <v>0.21928707</v>
      </c>
      <c r="L17" s="20" t="n">
        <v>0.15296894</v>
      </c>
      <c r="M17" s="18" t="n">
        <v>0</v>
      </c>
      <c r="N17" s="20" t="n">
        <v>0</v>
      </c>
      <c r="O17" s="18" t="n">
        <v>0</v>
      </c>
      <c r="P17" s="20" t="n">
        <v>0</v>
      </c>
      <c r="Q17" s="18" t="n">
        <v>26.53139505</v>
      </c>
      <c r="R17" s="20" t="n">
        <v>2.262305</v>
      </c>
    </row>
    <row r="18" spans="1:18">
      <c r="A18" s="15" t="s">
        <v>360</v>
      </c>
      <c r="B18" s="17" t="n">
        <v>2706</v>
      </c>
      <c r="C18" s="18">
        <f>(2340.0/B18*100)</f>
        <v/>
      </c>
      <c r="D18" s="19" t="n">
        <v>366</v>
      </c>
      <c r="E18" s="18" t="n">
        <v>64.81263636</v>
      </c>
      <c r="F18" s="20" t="n">
        <v>2.34711991</v>
      </c>
      <c r="G18" s="18" t="n">
        <v>2.17714901</v>
      </c>
      <c r="H18" s="20" t="n">
        <v>0.79771207</v>
      </c>
      <c r="I18" s="18" t="s">
        <v>349</v>
      </c>
      <c r="J18" s="20" t="s">
        <v>349</v>
      </c>
      <c r="K18" s="18" t="n">
        <v>0.70354945</v>
      </c>
      <c r="L18" s="20" t="n">
        <v>0.69377241</v>
      </c>
      <c r="M18" s="18" t="n">
        <v>0</v>
      </c>
      <c r="N18" s="20" t="n">
        <v>0</v>
      </c>
      <c r="O18" s="18" t="n">
        <v>0</v>
      </c>
      <c r="P18" s="20" t="n">
        <v>0</v>
      </c>
      <c r="Q18" s="18" t="n">
        <v>32.30666518</v>
      </c>
      <c r="R18" s="20" t="n">
        <v>2.27533998</v>
      </c>
    </row>
    <row r="19" spans="1:18">
      <c r="A19" s="15" t="s">
        <v>361</v>
      </c>
      <c r="B19" s="17" t="n">
        <v>2850</v>
      </c>
      <c r="C19" s="18">
        <f>(2493.0/B19*100)</f>
        <v/>
      </c>
      <c r="D19" s="19" t="n">
        <v>357</v>
      </c>
      <c r="E19" s="18" t="n">
        <v>57.10790106</v>
      </c>
      <c r="F19" s="20" t="n">
        <v>2.4659626</v>
      </c>
      <c r="G19" s="18" t="n">
        <v>7.30156594</v>
      </c>
      <c r="H19" s="20" t="n">
        <v>1.32056048</v>
      </c>
      <c r="I19" s="18" t="s">
        <v>349</v>
      </c>
      <c r="J19" s="20" t="s">
        <v>349</v>
      </c>
      <c r="K19" s="18" t="n">
        <v>0</v>
      </c>
      <c r="L19" s="20" t="n">
        <v>0</v>
      </c>
      <c r="M19" s="18" t="n">
        <v>0</v>
      </c>
      <c r="N19" s="20" t="n">
        <v>0</v>
      </c>
      <c r="O19" s="18" t="n">
        <v>0</v>
      </c>
      <c r="P19" s="20" t="n">
        <v>0</v>
      </c>
      <c r="Q19" s="18" t="n">
        <v>35.590533</v>
      </c>
      <c r="R19" s="20" t="n">
        <v>2.25842693</v>
      </c>
    </row>
    <row r="20" spans="1:18">
      <c r="A20" s="15" t="s">
        <v>362</v>
      </c>
      <c r="B20" s="17" t="n">
        <v>1741</v>
      </c>
      <c r="C20" s="18">
        <f>(1529.0/B20*100)</f>
        <v/>
      </c>
      <c r="D20" s="19" t="n">
        <v>212</v>
      </c>
      <c r="E20" s="18" t="n">
        <v>67.20558016</v>
      </c>
      <c r="F20" s="20" t="n">
        <v>3.31810672</v>
      </c>
      <c r="G20" s="18" t="n">
        <v>6.99086733</v>
      </c>
      <c r="H20" s="20" t="n">
        <v>1.8425329</v>
      </c>
      <c r="I20" s="18" t="s">
        <v>349</v>
      </c>
      <c r="J20" s="20" t="s">
        <v>349</v>
      </c>
      <c r="K20" s="18" t="n">
        <v>0</v>
      </c>
      <c r="L20" s="20" t="n">
        <v>0</v>
      </c>
      <c r="M20" s="18" t="n">
        <v>0</v>
      </c>
      <c r="N20" s="20" t="n">
        <v>0</v>
      </c>
      <c r="O20" s="18" t="n">
        <v>0</v>
      </c>
      <c r="P20" s="20" t="n">
        <v>0</v>
      </c>
      <c r="Q20" s="18" t="n">
        <v>25.80355251</v>
      </c>
      <c r="R20" s="20" t="n">
        <v>3.20023109</v>
      </c>
    </row>
    <row r="21" spans="1:18">
      <c r="A21" s="15" t="s">
        <v>363</v>
      </c>
      <c r="B21" s="17" t="n">
        <v>2833</v>
      </c>
      <c r="C21" s="18">
        <f>(2346.0/B21*100)</f>
        <v/>
      </c>
      <c r="D21" s="19" t="n">
        <v>487</v>
      </c>
      <c r="E21" s="18" t="n">
        <v>71.9171482</v>
      </c>
      <c r="F21" s="20" t="n">
        <v>2.47867308</v>
      </c>
      <c r="G21" s="18" t="n">
        <v>8.198394670000001</v>
      </c>
      <c r="H21" s="20" t="n">
        <v>1.252063</v>
      </c>
      <c r="I21" s="18" t="s">
        <v>349</v>
      </c>
      <c r="J21" s="20" t="s">
        <v>349</v>
      </c>
      <c r="K21" s="18" t="n">
        <v>0.18045307</v>
      </c>
      <c r="L21" s="20" t="n">
        <v>0.17965899</v>
      </c>
      <c r="M21" s="18" t="n">
        <v>0.25116224</v>
      </c>
      <c r="N21" s="20" t="n">
        <v>0.24882083</v>
      </c>
      <c r="O21" s="18" t="n">
        <v>0</v>
      </c>
      <c r="P21" s="20" t="n">
        <v>0</v>
      </c>
      <c r="Q21" s="18" t="n">
        <v>19.45284182</v>
      </c>
      <c r="R21" s="20" t="n">
        <v>1.88082329</v>
      </c>
    </row>
    <row r="22" spans="1:18">
      <c r="A22" s="15" t="s">
        <v>364</v>
      </c>
      <c r="B22" s="17" t="n">
        <v>3667</v>
      </c>
      <c r="C22" s="18">
        <f>(3237.0/B22*100)</f>
        <v/>
      </c>
      <c r="D22" s="19" t="n">
        <v>430</v>
      </c>
      <c r="E22" s="18" t="n">
        <v>53.00484055</v>
      </c>
      <c r="F22" s="20" t="n">
        <v>2.63833041</v>
      </c>
      <c r="G22" s="18" t="n">
        <v>5.98162622</v>
      </c>
      <c r="H22" s="20" t="n">
        <v>1.09740506</v>
      </c>
      <c r="I22" s="18" t="s">
        <v>349</v>
      </c>
      <c r="J22" s="20" t="s">
        <v>349</v>
      </c>
      <c r="K22" s="18" t="n">
        <v>0.45504203</v>
      </c>
      <c r="L22" s="20" t="n">
        <v>0.34638625</v>
      </c>
      <c r="M22" s="18" t="n">
        <v>0</v>
      </c>
      <c r="N22" s="20" t="n">
        <v>0</v>
      </c>
      <c r="O22" s="18" t="n">
        <v>0</v>
      </c>
      <c r="P22" s="20" t="n">
        <v>0</v>
      </c>
      <c r="Q22" s="18" t="n">
        <v>40.55849119</v>
      </c>
      <c r="R22" s="20" t="n">
        <v>2.69424246</v>
      </c>
    </row>
    <row r="23" spans="1:18">
      <c r="A23" s="15" t="s">
        <v>365</v>
      </c>
      <c r="B23" s="17" t="n">
        <v>5792</v>
      </c>
      <c r="C23" s="18">
        <f>(5069.0/B23*100)</f>
        <v/>
      </c>
      <c r="D23" s="19" t="n">
        <v>723</v>
      </c>
      <c r="E23" s="18" t="n">
        <v>47.26631272</v>
      </c>
      <c r="F23" s="20" t="n">
        <v>2.97670528</v>
      </c>
      <c r="G23" s="18" t="n">
        <v>8.92971635</v>
      </c>
      <c r="H23" s="20" t="n">
        <v>1.68006458</v>
      </c>
      <c r="I23" s="18" t="s">
        <v>349</v>
      </c>
      <c r="J23" s="20" t="s">
        <v>349</v>
      </c>
      <c r="K23" s="18" t="n">
        <v>0.27954104</v>
      </c>
      <c r="L23" s="20" t="n">
        <v>0.26869043</v>
      </c>
      <c r="M23" s="18" t="n">
        <v>0</v>
      </c>
      <c r="N23" s="20" t="n">
        <v>0</v>
      </c>
      <c r="O23" s="18" t="n">
        <v>0</v>
      </c>
      <c r="P23" s="20" t="n">
        <v>0</v>
      </c>
      <c r="Q23" s="18" t="n">
        <v>43.52442989</v>
      </c>
      <c r="R23" s="20" t="n">
        <v>2.67652067</v>
      </c>
    </row>
    <row r="24" spans="1:18">
      <c r="A24" s="15" t="s">
        <v>366</v>
      </c>
      <c r="B24" s="17" t="n">
        <v>3309</v>
      </c>
      <c r="C24" s="18">
        <f>(2901.0/B24*100)</f>
        <v/>
      </c>
      <c r="D24" s="19" t="n">
        <v>408</v>
      </c>
      <c r="E24" s="18" t="n">
        <v>56.85478603</v>
      </c>
      <c r="F24" s="20" t="n">
        <v>2.67372731</v>
      </c>
      <c r="G24" s="18" t="n">
        <v>19.38931323</v>
      </c>
      <c r="H24" s="20" t="n">
        <v>2.15571123</v>
      </c>
      <c r="I24" s="18" t="s">
        <v>349</v>
      </c>
      <c r="J24" s="20" t="s">
        <v>349</v>
      </c>
      <c r="K24" s="18" t="n">
        <v>0</v>
      </c>
      <c r="L24" s="20" t="n">
        <v>0</v>
      </c>
      <c r="M24" s="18" t="n">
        <v>0</v>
      </c>
      <c r="N24" s="20" t="n">
        <v>0</v>
      </c>
      <c r="O24" s="18" t="n">
        <v>0</v>
      </c>
      <c r="P24" s="20" t="n">
        <v>0</v>
      </c>
      <c r="Q24" s="18" t="n">
        <v>23.75590073</v>
      </c>
      <c r="R24" s="20" t="n">
        <v>2.2644717</v>
      </c>
    </row>
    <row r="25" spans="1:18">
      <c r="A25" s="15" t="s">
        <v>367</v>
      </c>
      <c r="B25" s="17" t="n">
        <v>2669</v>
      </c>
      <c r="C25" s="18">
        <f>(2342.0/B25*100)</f>
        <v/>
      </c>
      <c r="D25" s="19" t="n">
        <v>327</v>
      </c>
      <c r="E25" s="18" t="n">
        <v>62.27597009</v>
      </c>
      <c r="F25" s="20" t="n">
        <v>2.65322991</v>
      </c>
      <c r="G25" s="18" t="n">
        <v>19.17354419</v>
      </c>
      <c r="H25" s="20" t="n">
        <v>2.2569492</v>
      </c>
      <c r="I25" s="18" t="s">
        <v>349</v>
      </c>
      <c r="J25" s="20" t="s">
        <v>349</v>
      </c>
      <c r="K25" s="18" t="n">
        <v>0</v>
      </c>
      <c r="L25" s="20" t="n">
        <v>0</v>
      </c>
      <c r="M25" s="18" t="n">
        <v>0</v>
      </c>
      <c r="N25" s="20" t="n">
        <v>0</v>
      </c>
      <c r="O25" s="18" t="n">
        <v>0</v>
      </c>
      <c r="P25" s="20" t="n">
        <v>0</v>
      </c>
      <c r="Q25" s="18" t="n">
        <v>18.55048573</v>
      </c>
      <c r="R25" s="20" t="n">
        <v>2.08590775</v>
      </c>
    </row>
    <row r="26" spans="1:18">
      <c r="A26" s="15" t="s">
        <v>368</v>
      </c>
      <c r="B26" s="17" t="n">
        <v>2419</v>
      </c>
      <c r="C26" s="18">
        <f>(2121.0/B26*100)</f>
        <v/>
      </c>
      <c r="D26" s="19" t="n">
        <v>298</v>
      </c>
      <c r="E26" s="18" t="n">
        <v>71.51681868</v>
      </c>
      <c r="F26" s="20" t="n">
        <v>2.69164054</v>
      </c>
      <c r="G26" s="18" t="n">
        <v>7.43897728</v>
      </c>
      <c r="H26" s="20" t="n">
        <v>1.71535124</v>
      </c>
      <c r="I26" s="18" t="s">
        <v>349</v>
      </c>
      <c r="J26" s="20" t="s">
        <v>349</v>
      </c>
      <c r="K26" s="18" t="n">
        <v>0</v>
      </c>
      <c r="L26" s="20" t="n">
        <v>0</v>
      </c>
      <c r="M26" s="18" t="n">
        <v>0</v>
      </c>
      <c r="N26" s="20" t="n">
        <v>0</v>
      </c>
      <c r="O26" s="18" t="n">
        <v>0</v>
      </c>
      <c r="P26" s="20" t="n">
        <v>0</v>
      </c>
      <c r="Q26" s="18" t="n">
        <v>21.04420404</v>
      </c>
      <c r="R26" s="20" t="n">
        <v>2.52218184</v>
      </c>
    </row>
    <row r="27" spans="1:18">
      <c r="A27" s="15" t="s">
        <v>369</v>
      </c>
      <c r="B27" s="17" t="n">
        <v>2683</v>
      </c>
      <c r="C27" s="18">
        <f>(2369.0/B27*100)</f>
        <v/>
      </c>
      <c r="D27" s="19" t="n">
        <v>314</v>
      </c>
      <c r="E27" s="18" t="n">
        <v>55.64318143</v>
      </c>
      <c r="F27" s="20" t="n">
        <v>2.79300372</v>
      </c>
      <c r="G27" s="18" t="n">
        <v>8.83051176</v>
      </c>
      <c r="H27" s="20" t="n">
        <v>1.68439944</v>
      </c>
      <c r="I27" s="18" t="s">
        <v>349</v>
      </c>
      <c r="J27" s="20" t="s">
        <v>349</v>
      </c>
      <c r="K27" s="18" t="n">
        <v>0</v>
      </c>
      <c r="L27" s="20" t="n">
        <v>0</v>
      </c>
      <c r="M27" s="18" t="n">
        <v>0</v>
      </c>
      <c r="N27" s="20" t="n">
        <v>0</v>
      </c>
      <c r="O27" s="18" t="n">
        <v>0</v>
      </c>
      <c r="P27" s="20" t="n">
        <v>0</v>
      </c>
      <c r="Q27" s="18" t="n">
        <v>35.52630681</v>
      </c>
      <c r="R27" s="20" t="n">
        <v>2.58962655</v>
      </c>
    </row>
    <row r="28" spans="1:18">
      <c r="A28" s="15" t="s">
        <v>370</v>
      </c>
      <c r="B28" s="17" t="n">
        <v>3803</v>
      </c>
      <c r="C28" s="18">
        <f>(3348.0/B28*100)</f>
        <v/>
      </c>
      <c r="D28" s="19" t="n">
        <v>455</v>
      </c>
      <c r="E28" s="18" t="n">
        <v>77.24037859000001</v>
      </c>
      <c r="F28" s="20" t="n">
        <v>2.16874795</v>
      </c>
      <c r="G28" s="18" t="n">
        <v>2.03189546</v>
      </c>
      <c r="H28" s="20" t="n">
        <v>0.77152256</v>
      </c>
      <c r="I28" s="18" t="s">
        <v>349</v>
      </c>
      <c r="J28" s="20" t="s">
        <v>349</v>
      </c>
      <c r="K28" s="18" t="n">
        <v>0.53512262</v>
      </c>
      <c r="L28" s="20" t="n">
        <v>0.49161746</v>
      </c>
      <c r="M28" s="18" t="n">
        <v>0</v>
      </c>
      <c r="N28" s="20" t="n">
        <v>0</v>
      </c>
      <c r="O28" s="18" t="n">
        <v>0</v>
      </c>
      <c r="P28" s="20" t="n">
        <v>0</v>
      </c>
      <c r="Q28" s="18" t="n">
        <v>20.19260334</v>
      </c>
      <c r="R28" s="20" t="n">
        <v>2.02675157</v>
      </c>
    </row>
    <row r="29" spans="1:18">
      <c r="A29" s="15" t="s">
        <v>371</v>
      </c>
      <c r="B29" s="17" t="n">
        <v>2700</v>
      </c>
      <c r="C29" s="18">
        <f>(2367.0/B29*100)</f>
        <v/>
      </c>
      <c r="D29" s="19" t="n">
        <v>333</v>
      </c>
      <c r="E29" s="18" t="n">
        <v>72.31763898</v>
      </c>
      <c r="F29" s="20" t="n">
        <v>2.83595347</v>
      </c>
      <c r="G29" s="18" t="n">
        <v>9.437715770000001</v>
      </c>
      <c r="H29" s="20" t="n">
        <v>1.4806927</v>
      </c>
      <c r="I29" s="18" t="s">
        <v>349</v>
      </c>
      <c r="J29" s="20" t="s">
        <v>349</v>
      </c>
      <c r="K29" s="18" t="n">
        <v>0</v>
      </c>
      <c r="L29" s="20" t="n">
        <v>0</v>
      </c>
      <c r="M29" s="18" t="n">
        <v>0</v>
      </c>
      <c r="N29" s="20" t="n">
        <v>0</v>
      </c>
      <c r="O29" s="18" t="n">
        <v>0</v>
      </c>
      <c r="P29" s="20" t="n">
        <v>0</v>
      </c>
      <c r="Q29" s="18" t="n">
        <v>18.24464525</v>
      </c>
      <c r="R29" s="20" t="n">
        <v>2.45731491</v>
      </c>
    </row>
    <row r="30" spans="1:18">
      <c r="A30" s="15" t="s">
        <v>372</v>
      </c>
      <c r="B30" s="17" t="n">
        <v>2257</v>
      </c>
      <c r="C30" s="18">
        <f>(1983.0/B30*100)</f>
        <v/>
      </c>
      <c r="D30" s="19" t="n">
        <v>274</v>
      </c>
      <c r="E30" s="18" t="n">
        <v>63.84071961</v>
      </c>
      <c r="F30" s="20" t="n">
        <v>2.80787555</v>
      </c>
      <c r="G30" s="18" t="n">
        <v>6.99764452</v>
      </c>
      <c r="H30" s="20" t="n">
        <v>1.34878902</v>
      </c>
      <c r="I30" s="18" t="s">
        <v>349</v>
      </c>
      <c r="J30" s="20" t="s">
        <v>349</v>
      </c>
      <c r="K30" s="18" t="n">
        <v>0.94743869</v>
      </c>
      <c r="L30" s="20" t="n">
        <v>0.67222644</v>
      </c>
      <c r="M30" s="18" t="n">
        <v>0</v>
      </c>
      <c r="N30" s="20" t="n">
        <v>0</v>
      </c>
      <c r="O30" s="18" t="n">
        <v>0</v>
      </c>
      <c r="P30" s="20" t="n">
        <v>0</v>
      </c>
      <c r="Q30" s="18" t="n">
        <v>28.21419719</v>
      </c>
      <c r="R30" s="20" t="n">
        <v>2.60236077</v>
      </c>
    </row>
    <row r="31" spans="1:18">
      <c r="A31" s="15" t="s">
        <v>373</v>
      </c>
      <c r="B31" s="17" t="n">
        <v>2706</v>
      </c>
      <c r="C31" s="18">
        <f>(2370.0/B31*100)</f>
        <v/>
      </c>
      <c r="D31" s="19" t="n">
        <v>336</v>
      </c>
      <c r="E31" s="18" t="n">
        <v>53.47787225</v>
      </c>
      <c r="F31" s="20" t="n">
        <v>2.90908435</v>
      </c>
      <c r="G31" s="18" t="n">
        <v>11.26714953</v>
      </c>
      <c r="H31" s="20" t="n">
        <v>1.72747307</v>
      </c>
      <c r="I31" s="18" t="s">
        <v>349</v>
      </c>
      <c r="J31" s="20" t="s">
        <v>349</v>
      </c>
      <c r="K31" s="18" t="n">
        <v>0.6014677</v>
      </c>
      <c r="L31" s="20" t="n">
        <v>0.42372514</v>
      </c>
      <c r="M31" s="18" t="n">
        <v>0</v>
      </c>
      <c r="N31" s="20" t="n">
        <v>0</v>
      </c>
      <c r="O31" s="18" t="n">
        <v>0</v>
      </c>
      <c r="P31" s="20" t="n">
        <v>0</v>
      </c>
      <c r="Q31" s="18" t="n">
        <v>34.65351052</v>
      </c>
      <c r="R31" s="20" t="n">
        <v>2.79595544</v>
      </c>
    </row>
    <row r="32" spans="1:18">
      <c r="A32" s="15" t="s">
        <v>374</v>
      </c>
      <c r="B32" s="17" t="n">
        <v>2209</v>
      </c>
      <c r="C32" s="18">
        <f>(1859.0/B32*100)</f>
        <v/>
      </c>
      <c r="D32" s="19" t="n">
        <v>350</v>
      </c>
      <c r="E32" s="18" t="n">
        <v>63.23450398</v>
      </c>
      <c r="F32" s="20" t="n">
        <v>2.89588332</v>
      </c>
      <c r="G32" s="18" t="n">
        <v>11.01532427</v>
      </c>
      <c r="H32" s="20" t="n">
        <v>1.90248317</v>
      </c>
      <c r="I32" s="18" t="s">
        <v>349</v>
      </c>
      <c r="J32" s="20" t="s">
        <v>349</v>
      </c>
      <c r="K32" s="18" t="n">
        <v>0</v>
      </c>
      <c r="L32" s="20" t="n">
        <v>0</v>
      </c>
      <c r="M32" s="18" t="n">
        <v>0</v>
      </c>
      <c r="N32" s="20" t="n">
        <v>0</v>
      </c>
      <c r="O32" s="18" t="n">
        <v>0</v>
      </c>
      <c r="P32" s="20" t="n">
        <v>0</v>
      </c>
      <c r="Q32" s="18" t="n">
        <v>25.75017175</v>
      </c>
      <c r="R32" s="20" t="n">
        <v>2.31713745</v>
      </c>
    </row>
    <row r="33" spans="1:18">
      <c r="A33" s="15" t="s">
        <v>375</v>
      </c>
      <c r="B33" s="17" t="n">
        <v>3651</v>
      </c>
      <c r="C33" s="18">
        <f>(3197.0/B33*100)</f>
        <v/>
      </c>
      <c r="D33" s="19" t="n">
        <v>454</v>
      </c>
      <c r="E33" s="18" t="n">
        <v>54.48607945</v>
      </c>
      <c r="F33" s="20" t="n">
        <v>2.82972379</v>
      </c>
      <c r="G33" s="18" t="n">
        <v>10.47367408</v>
      </c>
      <c r="H33" s="20" t="n">
        <v>1.79810763</v>
      </c>
      <c r="I33" s="18" t="s">
        <v>349</v>
      </c>
      <c r="J33" s="20" t="s">
        <v>349</v>
      </c>
      <c r="K33" s="18" t="n">
        <v>0.28060253</v>
      </c>
      <c r="L33" s="20" t="n">
        <v>0.2827802</v>
      </c>
      <c r="M33" s="18" t="n">
        <v>0.29554492</v>
      </c>
      <c r="N33" s="20" t="n">
        <v>0.25637872</v>
      </c>
      <c r="O33" s="18" t="n">
        <v>0</v>
      </c>
      <c r="P33" s="20" t="n">
        <v>0</v>
      </c>
      <c r="Q33" s="18" t="n">
        <v>34.46409901</v>
      </c>
      <c r="R33" s="20" t="n">
        <v>2.83799272</v>
      </c>
    </row>
    <row r="34" spans="1:18">
      <c r="A34" s="15" t="s">
        <v>376</v>
      </c>
      <c r="B34" s="17" t="n">
        <v>3035</v>
      </c>
      <c r="C34" s="18">
        <f>(2691.0/B34*100)</f>
        <v/>
      </c>
      <c r="D34" s="19" t="n">
        <v>344</v>
      </c>
      <c r="E34" s="18" t="n">
        <v>70.79528000000001</v>
      </c>
      <c r="F34" s="20" t="n">
        <v>2.29015457</v>
      </c>
      <c r="G34" s="18" t="n">
        <v>9.35673227</v>
      </c>
      <c r="H34" s="20" t="n">
        <v>1.51974174</v>
      </c>
      <c r="I34" s="18" t="s">
        <v>349</v>
      </c>
      <c r="J34" s="20" t="s">
        <v>349</v>
      </c>
      <c r="K34" s="18" t="n">
        <v>0</v>
      </c>
      <c r="L34" s="20" t="n">
        <v>0</v>
      </c>
      <c r="M34" s="18" t="n">
        <v>0</v>
      </c>
      <c r="N34" s="20" t="n">
        <v>0</v>
      </c>
      <c r="O34" s="18" t="n">
        <v>0</v>
      </c>
      <c r="P34" s="20" t="n">
        <v>0</v>
      </c>
      <c r="Q34" s="18" t="n">
        <v>19.84798774</v>
      </c>
      <c r="R34" s="20" t="n">
        <v>2.1920729</v>
      </c>
    </row>
    <row r="35" spans="1:18">
      <c r="A35" s="15" t="s">
        <v>377</v>
      </c>
      <c r="B35" s="17" t="n">
        <v>2901</v>
      </c>
      <c r="C35" s="18">
        <f>(2566.0/B35*100)</f>
        <v/>
      </c>
      <c r="D35" s="19" t="n">
        <v>335</v>
      </c>
      <c r="E35" s="18" t="n">
        <v>64.10850155999999</v>
      </c>
      <c r="F35" s="20" t="n">
        <v>4.04706837</v>
      </c>
      <c r="G35" s="18" t="n">
        <v>15.8971842</v>
      </c>
      <c r="H35" s="20" t="n">
        <v>2.97841397</v>
      </c>
      <c r="I35" s="18" t="s">
        <v>349</v>
      </c>
      <c r="J35" s="20" t="s">
        <v>349</v>
      </c>
      <c r="K35" s="18" t="n">
        <v>0.14036923</v>
      </c>
      <c r="L35" s="20" t="n">
        <v>0.14170915</v>
      </c>
      <c r="M35" s="18" t="n">
        <v>0</v>
      </c>
      <c r="N35" s="20" t="n">
        <v>0</v>
      </c>
      <c r="O35" s="18" t="n">
        <v>0</v>
      </c>
      <c r="P35" s="20" t="n">
        <v>0</v>
      </c>
      <c r="Q35" s="18" t="n">
        <v>19.85394501</v>
      </c>
      <c r="R35" s="20" t="n">
        <v>3.01329521</v>
      </c>
    </row>
    <row r="36" spans="1:18">
      <c r="A36" s="15" t="s">
        <v>378</v>
      </c>
      <c r="B36" s="17" t="n">
        <v>3404</v>
      </c>
      <c r="C36" s="18">
        <f>(3004.0/B36*100)</f>
        <v/>
      </c>
      <c r="D36" s="19" t="n">
        <v>400</v>
      </c>
      <c r="E36" s="18" t="n">
        <v>51.51543874</v>
      </c>
      <c r="F36" s="20" t="n">
        <v>2.44019667</v>
      </c>
      <c r="G36" s="18" t="n">
        <v>7.23783268</v>
      </c>
      <c r="H36" s="20" t="n">
        <v>1.55119356</v>
      </c>
      <c r="I36" s="18" t="s">
        <v>349</v>
      </c>
      <c r="J36" s="20" t="s">
        <v>349</v>
      </c>
      <c r="K36" s="18" t="n">
        <v>0.60184101</v>
      </c>
      <c r="L36" s="20" t="n">
        <v>0.41544179</v>
      </c>
      <c r="M36" s="18" t="n">
        <v>0</v>
      </c>
      <c r="N36" s="20" t="n">
        <v>0</v>
      </c>
      <c r="O36" s="18" t="n">
        <v>0</v>
      </c>
      <c r="P36" s="20" t="n">
        <v>0</v>
      </c>
      <c r="Q36" s="18" t="n">
        <v>40.64488758</v>
      </c>
      <c r="R36" s="20" t="n">
        <v>2.66595147</v>
      </c>
    </row>
    <row r="37" spans="1:18">
      <c r="A37" s="15" t="s">
        <v>379</v>
      </c>
      <c r="B37" s="17" t="n">
        <v>2731</v>
      </c>
      <c r="C37" s="18">
        <f>(2392.0/B37*100)</f>
        <v/>
      </c>
      <c r="D37" s="19" t="n">
        <v>339</v>
      </c>
      <c r="E37" s="18" t="n">
        <v>50.5655192</v>
      </c>
      <c r="F37" s="20" t="n">
        <v>2.83813077</v>
      </c>
      <c r="G37" s="18" t="n">
        <v>11.82068992</v>
      </c>
      <c r="H37" s="20" t="n">
        <v>1.71064988</v>
      </c>
      <c r="I37" s="18" t="s">
        <v>349</v>
      </c>
      <c r="J37" s="20" t="s">
        <v>349</v>
      </c>
      <c r="K37" s="18" t="n">
        <v>0.88388859</v>
      </c>
      <c r="L37" s="20" t="n">
        <v>0.50728069</v>
      </c>
      <c r="M37" s="18" t="n">
        <v>0</v>
      </c>
      <c r="N37" s="20" t="n">
        <v>0</v>
      </c>
      <c r="O37" s="18" t="n">
        <v>0</v>
      </c>
      <c r="P37" s="20" t="n">
        <v>0</v>
      </c>
      <c r="Q37" s="18" t="n">
        <v>36.7299023</v>
      </c>
      <c r="R37" s="20" t="n">
        <v>2.76697732</v>
      </c>
    </row>
    <row r="38" spans="1:18">
      <c r="A38" s="15" t="s">
        <v>380</v>
      </c>
      <c r="B38" s="17" t="n">
        <v>2807</v>
      </c>
      <c r="C38" s="18">
        <f>(2327.0/B38*100)</f>
        <v/>
      </c>
      <c r="D38" s="19" t="n">
        <v>480</v>
      </c>
      <c r="E38" s="18" t="n">
        <v>53.33238481</v>
      </c>
      <c r="F38" s="20" t="n">
        <v>2.61625477</v>
      </c>
      <c r="G38" s="18" t="n">
        <v>21.13626861</v>
      </c>
      <c r="H38" s="20" t="n">
        <v>2.30205608</v>
      </c>
      <c r="I38" s="18" t="s">
        <v>349</v>
      </c>
      <c r="J38" s="20" t="s">
        <v>349</v>
      </c>
      <c r="K38" s="18" t="n">
        <v>0.17507297</v>
      </c>
      <c r="L38" s="20" t="n">
        <v>0.17442941</v>
      </c>
      <c r="M38" s="18" t="n">
        <v>0</v>
      </c>
      <c r="N38" s="20" t="n">
        <v>0</v>
      </c>
      <c r="O38" s="18" t="n">
        <v>0</v>
      </c>
      <c r="P38" s="20" t="n">
        <v>0</v>
      </c>
      <c r="Q38" s="18" t="n">
        <v>25.35627362</v>
      </c>
      <c r="R38" s="20" t="n">
        <v>2.14025512</v>
      </c>
    </row>
    <row r="39" spans="1:18">
      <c r="A39" s="15" t="s">
        <v>381</v>
      </c>
      <c r="B39" s="17" t="n">
        <v>2938</v>
      </c>
      <c r="C39" s="18">
        <f>(2577.0/B39*100)</f>
        <v/>
      </c>
      <c r="D39" s="19" t="n">
        <v>361</v>
      </c>
      <c r="E39" s="18" t="n">
        <v>67.72493851</v>
      </c>
      <c r="F39" s="20" t="n">
        <v>2.95662617</v>
      </c>
      <c r="G39" s="18" t="n">
        <v>1.35848973</v>
      </c>
      <c r="H39" s="20" t="n">
        <v>0.63030059</v>
      </c>
      <c r="I39" s="18" t="s">
        <v>349</v>
      </c>
      <c r="J39" s="20" t="s">
        <v>349</v>
      </c>
      <c r="K39" s="18" t="n">
        <v>0</v>
      </c>
      <c r="L39" s="20" t="n">
        <v>0</v>
      </c>
      <c r="M39" s="18" t="n">
        <v>0</v>
      </c>
      <c r="N39" s="20" t="n">
        <v>0</v>
      </c>
      <c r="O39" s="18" t="n">
        <v>0</v>
      </c>
      <c r="P39" s="20" t="n">
        <v>0</v>
      </c>
      <c r="Q39" s="18" t="n">
        <v>30.91657176</v>
      </c>
      <c r="R39" s="20" t="n">
        <v>2.99606576</v>
      </c>
    </row>
    <row r="40" spans="1:18">
      <c r="A40" s="15" t="s">
        <v>382</v>
      </c>
      <c r="B40" s="17" t="n">
        <v>6922</v>
      </c>
      <c r="C40" s="18">
        <f>(6089.0/B40*100)</f>
        <v/>
      </c>
      <c r="D40" s="19" t="n">
        <v>833</v>
      </c>
      <c r="E40" s="18" t="n">
        <v>60.63780407</v>
      </c>
      <c r="F40" s="20" t="n">
        <v>3.05731415</v>
      </c>
      <c r="G40" s="18" t="n">
        <v>8.17821694</v>
      </c>
      <c r="H40" s="20" t="n">
        <v>1.34610224</v>
      </c>
      <c r="I40" s="18" t="s">
        <v>349</v>
      </c>
      <c r="J40" s="20" t="s">
        <v>349</v>
      </c>
      <c r="K40" s="18" t="n">
        <v>0.46197547</v>
      </c>
      <c r="L40" s="20" t="n">
        <v>0.46287496</v>
      </c>
      <c r="M40" s="18" t="n">
        <v>0</v>
      </c>
      <c r="N40" s="20" t="n">
        <v>0</v>
      </c>
      <c r="O40" s="18" t="n">
        <v>0</v>
      </c>
      <c r="P40" s="20" t="n">
        <v>0</v>
      </c>
      <c r="Q40" s="18" t="n">
        <v>30.72200352</v>
      </c>
      <c r="R40" s="20" t="n">
        <v>2.65898116</v>
      </c>
    </row>
    <row r="41" spans="1:18">
      <c r="A41" s="15" t="s">
        <v>383</v>
      </c>
      <c r="B41" s="17" t="n">
        <v>2854</v>
      </c>
      <c r="C41" s="18">
        <f>(2511.0/B41*100)</f>
        <v/>
      </c>
      <c r="D41" s="19" t="n">
        <v>343</v>
      </c>
      <c r="E41" s="18" t="n">
        <v>81.83622625</v>
      </c>
      <c r="F41" s="20" t="n">
        <v>2.21951106</v>
      </c>
      <c r="G41" s="18" t="n">
        <v>3.71684129</v>
      </c>
      <c r="H41" s="20" t="n">
        <v>1.00282513</v>
      </c>
      <c r="I41" s="18" t="s">
        <v>349</v>
      </c>
      <c r="J41" s="20" t="s">
        <v>349</v>
      </c>
      <c r="K41" s="18" t="n">
        <v>0.79849352</v>
      </c>
      <c r="L41" s="20" t="n">
        <v>0.51670256</v>
      </c>
      <c r="M41" s="18" t="n">
        <v>0</v>
      </c>
      <c r="N41" s="20" t="n">
        <v>0</v>
      </c>
      <c r="O41" s="18" t="n">
        <v>0</v>
      </c>
      <c r="P41" s="20" t="n">
        <v>0</v>
      </c>
      <c r="Q41" s="18" t="n">
        <v>13.64843894</v>
      </c>
      <c r="R41" s="20" t="n">
        <v>1.96733756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(10806.0/B46*100)</f>
        <v/>
      </c>
      <c r="D46" s="19" t="n">
        <v>1267</v>
      </c>
      <c r="E46" s="18" t="n">
        <v>61.67854194</v>
      </c>
      <c r="F46" s="20" t="n">
        <v>1.9675817</v>
      </c>
      <c r="G46" s="18" t="n">
        <v>1.60549806</v>
      </c>
      <c r="H46" s="20" t="n">
        <v>0.63655069</v>
      </c>
      <c r="I46" s="18" t="s">
        <v>349</v>
      </c>
      <c r="J46" s="20" t="s">
        <v>349</v>
      </c>
      <c r="K46" s="18" t="n">
        <v>0.79673587</v>
      </c>
      <c r="L46" s="20" t="n">
        <v>0.31917231</v>
      </c>
      <c r="M46" s="18" t="n">
        <v>0.08059421999999999</v>
      </c>
      <c r="N46" s="20" t="n">
        <v>0.05627006</v>
      </c>
      <c r="O46" s="18" t="n">
        <v>0</v>
      </c>
      <c r="P46" s="20" t="n">
        <v>0</v>
      </c>
      <c r="Q46" s="18" t="n">
        <v>35.83862991</v>
      </c>
      <c r="R46" s="20" t="n">
        <v>1.83437272</v>
      </c>
    </row>
    <row r="47" spans="1:18">
      <c r="A47" s="15" t="s">
        <v>389</v>
      </c>
      <c r="B47" s="17" t="n">
        <v>2823</v>
      </c>
      <c r="C47" s="18">
        <f>(2480.0/B47*100)</f>
        <v/>
      </c>
      <c r="D47" s="19" t="n">
        <v>343</v>
      </c>
      <c r="E47" s="18" t="n">
        <v>66.38856604999999</v>
      </c>
      <c r="F47" s="20" t="n">
        <v>2.86438584</v>
      </c>
      <c r="G47" s="18" t="n">
        <v>6.38355901</v>
      </c>
      <c r="H47" s="20" t="n">
        <v>1.78853816</v>
      </c>
      <c r="I47" s="18" t="s">
        <v>349</v>
      </c>
      <c r="J47" s="20" t="s">
        <v>349</v>
      </c>
      <c r="K47" s="18" t="n">
        <v>0.54875517</v>
      </c>
      <c r="L47" s="20" t="n">
        <v>0.4777903</v>
      </c>
      <c r="M47" s="18" t="n">
        <v>0</v>
      </c>
      <c r="N47" s="20" t="n">
        <v>0</v>
      </c>
      <c r="O47" s="18" t="n">
        <v>0</v>
      </c>
      <c r="P47" s="20" t="n">
        <v>0</v>
      </c>
      <c r="Q47" s="18" t="n">
        <v>26.67911977</v>
      </c>
      <c r="R47" s="20" t="n">
        <v>2.64751096</v>
      </c>
    </row>
    <row r="48" spans="1:18">
      <c r="A48" s="15" t="s">
        <v>390</v>
      </c>
      <c r="B48" s="17" t="n">
        <v>4682</v>
      </c>
      <c r="C48" s="18">
        <f>(4109.0/B48*100)</f>
        <v/>
      </c>
      <c r="D48" s="19" t="n">
        <v>573</v>
      </c>
      <c r="E48" s="18" t="n">
        <v>63.81220985</v>
      </c>
      <c r="F48" s="20" t="n">
        <v>2.61762641</v>
      </c>
      <c r="G48" s="18" t="n">
        <v>27.1932989</v>
      </c>
      <c r="H48" s="20" t="n">
        <v>2.44070937</v>
      </c>
      <c r="I48" s="18" t="s">
        <v>349</v>
      </c>
      <c r="J48" s="20" t="s">
        <v>349</v>
      </c>
      <c r="K48" s="18" t="n">
        <v>0</v>
      </c>
      <c r="L48" s="20" t="n">
        <v>0</v>
      </c>
      <c r="M48" s="18" t="n">
        <v>0</v>
      </c>
      <c r="N48" s="20" t="n">
        <v>0</v>
      </c>
      <c r="O48" s="18" t="n">
        <v>0</v>
      </c>
      <c r="P48" s="20" t="n">
        <v>0</v>
      </c>
      <c r="Q48" s="18" t="n">
        <v>8.994491249999999</v>
      </c>
      <c r="R48" s="20" t="n">
        <v>1.450007</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(5413.0/B50*100)</f>
        <v/>
      </c>
      <c r="D50" s="19" t="n">
        <v>745</v>
      </c>
      <c r="E50" s="18" t="n">
        <v>77.99066474999999</v>
      </c>
      <c r="F50" s="20" t="n">
        <v>1.99021022</v>
      </c>
      <c r="G50" s="18" t="n">
        <v>1.11152345</v>
      </c>
      <c r="H50" s="20" t="n">
        <v>0.32874091</v>
      </c>
      <c r="I50" s="18" t="s">
        <v>349</v>
      </c>
      <c r="J50" s="20" t="s">
        <v>349</v>
      </c>
      <c r="K50" s="18" t="n">
        <v>0.33866438</v>
      </c>
      <c r="L50" s="20" t="n">
        <v>0.21098504</v>
      </c>
      <c r="M50" s="18" t="n">
        <v>1.6258003</v>
      </c>
      <c r="N50" s="20" t="n">
        <v>0.53841797</v>
      </c>
      <c r="O50" s="18" t="n">
        <v>0</v>
      </c>
      <c r="P50" s="20" t="n">
        <v>0</v>
      </c>
      <c r="Q50" s="18" t="n">
        <v>18.93334711</v>
      </c>
      <c r="R50" s="20" t="n">
        <v>1.89052592</v>
      </c>
    </row>
    <row r="51" spans="1:18">
      <c r="A51" s="15" t="s">
        <v>393</v>
      </c>
      <c r="B51" s="17" t="n">
        <v>3494</v>
      </c>
      <c r="C51" s="18">
        <f>(3102.0/B51*100)</f>
        <v/>
      </c>
      <c r="D51" s="19" t="n">
        <v>392</v>
      </c>
      <c r="E51" s="18" t="n">
        <v>65.73103731</v>
      </c>
      <c r="F51" s="20" t="n">
        <v>2.91219649</v>
      </c>
      <c r="G51" s="18" t="n">
        <v>0.60442252</v>
      </c>
      <c r="H51" s="20" t="n">
        <v>0.4191534</v>
      </c>
      <c r="I51" s="18" t="s">
        <v>349</v>
      </c>
      <c r="J51" s="20" t="s">
        <v>349</v>
      </c>
      <c r="K51" s="18" t="n">
        <v>0.45442968</v>
      </c>
      <c r="L51" s="20" t="n">
        <v>0.30193889</v>
      </c>
      <c r="M51" s="18" t="n">
        <v>0</v>
      </c>
      <c r="N51" s="20" t="n">
        <v>0</v>
      </c>
      <c r="O51" s="18" t="n">
        <v>0</v>
      </c>
      <c r="P51" s="20" t="n">
        <v>0</v>
      </c>
      <c r="Q51" s="18" t="n">
        <v>33.21011048</v>
      </c>
      <c r="R51" s="20" t="n">
        <v>2.81621375</v>
      </c>
    </row>
    <row r="52" spans="1:18">
      <c r="A52" s="15" t="s">
        <v>394</v>
      </c>
      <c r="B52" s="17" t="n">
        <v>3013</v>
      </c>
      <c r="C52" s="18">
        <f>(2637.0/B52*100)</f>
        <v/>
      </c>
      <c r="D52" s="19" t="n">
        <v>376</v>
      </c>
      <c r="E52" s="18" t="n">
        <v>55.66074752</v>
      </c>
      <c r="F52" s="20" t="n">
        <v>2.10157705</v>
      </c>
      <c r="G52" s="18" t="n">
        <v>4.42515488</v>
      </c>
      <c r="H52" s="20" t="n">
        <v>1.17740473</v>
      </c>
      <c r="I52" s="18" t="s">
        <v>349</v>
      </c>
      <c r="J52" s="20" t="s">
        <v>349</v>
      </c>
      <c r="K52" s="18" t="n">
        <v>0</v>
      </c>
      <c r="L52" s="20" t="n">
        <v>0</v>
      </c>
      <c r="M52" s="18" t="n">
        <v>0.44225268</v>
      </c>
      <c r="N52" s="20" t="n">
        <v>0.28624489</v>
      </c>
      <c r="O52" s="18" t="n">
        <v>0</v>
      </c>
      <c r="P52" s="20" t="n">
        <v>0</v>
      </c>
      <c r="Q52" s="18" t="n">
        <v>39.47184493</v>
      </c>
      <c r="R52" s="20" t="n">
        <v>2.21889172</v>
      </c>
    </row>
    <row r="53" spans="1:18">
      <c r="A53" s="15" t="s">
        <v>395</v>
      </c>
      <c r="B53" s="17" t="n">
        <v>2760</v>
      </c>
      <c r="C53" s="18">
        <f>(2409.0/B53*100)</f>
        <v/>
      </c>
      <c r="D53" s="19" t="n">
        <v>351</v>
      </c>
      <c r="E53" s="18" t="n">
        <v>68.33876755</v>
      </c>
      <c r="F53" s="20" t="n">
        <v>2.33387692</v>
      </c>
      <c r="G53" s="18" t="n">
        <v>1.68322394</v>
      </c>
      <c r="H53" s="20" t="n">
        <v>0.69221954</v>
      </c>
      <c r="I53" s="18" t="s">
        <v>349</v>
      </c>
      <c r="J53" s="20" t="s">
        <v>349</v>
      </c>
      <c r="K53" s="18" t="n">
        <v>0.40495073</v>
      </c>
      <c r="L53" s="20" t="n">
        <v>0.27655294</v>
      </c>
      <c r="M53" s="18" t="n">
        <v>0</v>
      </c>
      <c r="N53" s="20" t="n">
        <v>0</v>
      </c>
      <c r="O53" s="18" t="n">
        <v>0</v>
      </c>
      <c r="P53" s="20" t="n">
        <v>0</v>
      </c>
      <c r="Q53" s="18" t="n">
        <v>29.57305778</v>
      </c>
      <c r="R53" s="20" t="n">
        <v>2.2272419</v>
      </c>
    </row>
    <row r="54" spans="1:18">
      <c r="A54" s="15" t="s">
        <v>396</v>
      </c>
      <c r="B54" s="17" t="n">
        <v>2474</v>
      </c>
      <c r="C54" s="18">
        <f>(2083.0/B54*100)</f>
        <v/>
      </c>
      <c r="D54" s="19" t="n">
        <v>391</v>
      </c>
      <c r="E54" s="18" t="n">
        <v>50.82194045</v>
      </c>
      <c r="F54" s="20" t="n">
        <v>3.09945059</v>
      </c>
      <c r="G54" s="18" t="n">
        <v>0.33184258</v>
      </c>
      <c r="H54" s="20" t="n">
        <v>0.28035084</v>
      </c>
      <c r="I54" s="18" t="s">
        <v>349</v>
      </c>
      <c r="J54" s="20" t="s">
        <v>349</v>
      </c>
      <c r="K54" s="18" t="n">
        <v>10.62236591</v>
      </c>
      <c r="L54" s="20" t="n">
        <v>1.93704384</v>
      </c>
      <c r="M54" s="18" t="n">
        <v>0.57807541</v>
      </c>
      <c r="N54" s="20" t="n">
        <v>0.64086239</v>
      </c>
      <c r="O54" s="18" t="n">
        <v>0</v>
      </c>
      <c r="P54" s="20" t="n">
        <v>0</v>
      </c>
      <c r="Q54" s="18" t="n">
        <v>37.64577564</v>
      </c>
      <c r="R54" s="20" t="n">
        <v>2.69298722</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(2334.0/B56*100)</f>
        <v/>
      </c>
      <c r="D56" s="19" t="n">
        <v>341</v>
      </c>
      <c r="E56" s="18" t="n">
        <v>55.0254247</v>
      </c>
      <c r="F56" s="20" t="n">
        <v>2.89392328</v>
      </c>
      <c r="G56" s="18" t="n">
        <v>24.6460097</v>
      </c>
      <c r="H56" s="20" t="n">
        <v>2.6058744</v>
      </c>
      <c r="I56" s="18" t="s">
        <v>349</v>
      </c>
      <c r="J56" s="20" t="s">
        <v>349</v>
      </c>
      <c r="K56" s="18" t="n">
        <v>0.2679198</v>
      </c>
      <c r="L56" s="20" t="n">
        <v>0.29777268</v>
      </c>
      <c r="M56" s="18" t="n">
        <v>0</v>
      </c>
      <c r="N56" s="20" t="n">
        <v>0</v>
      </c>
      <c r="O56" s="18" t="n">
        <v>0</v>
      </c>
      <c r="P56" s="20" t="n">
        <v>0</v>
      </c>
      <c r="Q56" s="18" t="n">
        <v>20.0606458</v>
      </c>
      <c r="R56" s="20" t="n">
        <v>2.39505159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(2814.0/B61*100)</f>
        <v/>
      </c>
      <c r="D61" s="19" t="n">
        <v>387</v>
      </c>
      <c r="E61" s="18" t="n">
        <v>55.43055455</v>
      </c>
      <c r="F61" s="20" t="n">
        <v>2.96608961</v>
      </c>
      <c r="G61" s="18" t="n">
        <v>7.44756894</v>
      </c>
      <c r="H61" s="20" t="n">
        <v>1.41767232</v>
      </c>
      <c r="I61" s="18" t="s">
        <v>349</v>
      </c>
      <c r="J61" s="20" t="s">
        <v>349</v>
      </c>
      <c r="K61" s="18" t="n">
        <v>0</v>
      </c>
      <c r="L61" s="20" t="n">
        <v>0</v>
      </c>
      <c r="M61" s="18" t="n">
        <v>0</v>
      </c>
      <c r="N61" s="20" t="n">
        <v>0</v>
      </c>
      <c r="O61" s="18" t="n">
        <v>0</v>
      </c>
      <c r="P61" s="20" t="n">
        <v>0</v>
      </c>
      <c r="Q61" s="18" t="n">
        <v>37.12187651</v>
      </c>
      <c r="R61" s="20" t="n">
        <v>2.94894136</v>
      </c>
    </row>
    <row r="62" spans="1:18">
      <c r="A62" s="15" t="s">
        <v>404</v>
      </c>
      <c r="B62" s="17" t="n">
        <v>2230</v>
      </c>
      <c r="C62" s="18">
        <f>(1944.0/B62*100)</f>
        <v/>
      </c>
      <c r="D62" s="19" t="n">
        <v>286</v>
      </c>
      <c r="E62" s="18" t="n">
        <v>63.9567784</v>
      </c>
      <c r="F62" s="20" t="n">
        <v>2.69239268</v>
      </c>
      <c r="G62" s="18" t="n">
        <v>22.73899788</v>
      </c>
      <c r="H62" s="20" t="n">
        <v>2.47862151</v>
      </c>
      <c r="I62" s="18" t="s">
        <v>349</v>
      </c>
      <c r="J62" s="20" t="s">
        <v>349</v>
      </c>
      <c r="K62" s="18" t="n">
        <v>0</v>
      </c>
      <c r="L62" s="20" t="n">
        <v>0</v>
      </c>
      <c r="M62" s="18" t="n">
        <v>0</v>
      </c>
      <c r="N62" s="20" t="n">
        <v>0</v>
      </c>
      <c r="O62" s="18" t="n">
        <v>0</v>
      </c>
      <c r="P62" s="20" t="n">
        <v>0</v>
      </c>
      <c r="Q62" s="18" t="n">
        <v>13.30422372</v>
      </c>
      <c r="R62" s="20" t="n">
        <v>2.06899537</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(2421.0/B66*100)</f>
        <v/>
      </c>
      <c r="D66" s="19" t="n">
        <v>350</v>
      </c>
      <c r="E66" s="18" t="n">
        <v>29.92937865</v>
      </c>
      <c r="F66" s="20" t="n">
        <v>2.68022371</v>
      </c>
      <c r="G66" s="18" t="n">
        <v>2.16146988</v>
      </c>
      <c r="H66" s="20" t="n">
        <v>0.80877339</v>
      </c>
      <c r="I66" s="18" t="s">
        <v>349</v>
      </c>
      <c r="J66" s="20" t="s">
        <v>349</v>
      </c>
      <c r="K66" s="18" t="n">
        <v>0.24760215</v>
      </c>
      <c r="L66" s="20" t="n">
        <v>0.24843611</v>
      </c>
      <c r="M66" s="18" t="n">
        <v>0</v>
      </c>
      <c r="N66" s="20" t="n">
        <v>0</v>
      </c>
      <c r="O66" s="18" t="n">
        <v>0</v>
      </c>
      <c r="P66" s="20" t="n">
        <v>0</v>
      </c>
      <c r="Q66" s="18" t="n">
        <v>67.66154931</v>
      </c>
      <c r="R66" s="20" t="n">
        <v>2.81385712</v>
      </c>
    </row>
    <row r="67" spans="1:18">
      <c r="A67" s="15" t="s">
        <v>409</v>
      </c>
      <c r="B67" s="17" t="n">
        <v>3460</v>
      </c>
      <c r="C67" s="18">
        <f>(3064.0/B67*100)</f>
        <v/>
      </c>
      <c r="D67" s="19" t="n">
        <v>396</v>
      </c>
      <c r="E67" s="18" t="n">
        <v>65.31688357</v>
      </c>
      <c r="F67" s="20" t="n">
        <v>2.48739968</v>
      </c>
      <c r="G67" s="18" t="n">
        <v>0.44783245</v>
      </c>
      <c r="H67" s="20" t="n">
        <v>0.3125964</v>
      </c>
      <c r="I67" s="18" t="s">
        <v>349</v>
      </c>
      <c r="J67" s="20" t="s">
        <v>349</v>
      </c>
      <c r="K67" s="18" t="n">
        <v>0.20045148</v>
      </c>
      <c r="L67" s="20" t="n">
        <v>0.2059377</v>
      </c>
      <c r="M67" s="18" t="n">
        <v>0</v>
      </c>
      <c r="N67" s="20" t="n">
        <v>0</v>
      </c>
      <c r="O67" s="18" t="n">
        <v>0</v>
      </c>
      <c r="P67" s="20" t="n">
        <v>0</v>
      </c>
      <c r="Q67" s="18" t="n">
        <v>34.0348325</v>
      </c>
      <c r="R67" s="20" t="n">
        <v>2.4315956</v>
      </c>
    </row>
    <row r="68" spans="1:18">
      <c r="A68" s="15" t="s">
        <v>410</v>
      </c>
      <c r="B68" s="17" t="n">
        <v>6034</v>
      </c>
      <c r="C68" s="18">
        <f>(5028.0/B68*100)</f>
        <v/>
      </c>
      <c r="D68" s="19" t="n">
        <v>1006</v>
      </c>
      <c r="E68" s="18" t="n">
        <v>69.40910725000001</v>
      </c>
      <c r="F68" s="20" t="n">
        <v>1.43877226</v>
      </c>
      <c r="G68" s="18" t="n">
        <v>3.35474169</v>
      </c>
      <c r="H68" s="20" t="n">
        <v>0.64535226</v>
      </c>
      <c r="I68" s="18" t="s">
        <v>349</v>
      </c>
      <c r="J68" s="20" t="s">
        <v>349</v>
      </c>
      <c r="K68" s="18" t="n">
        <v>1.76147555</v>
      </c>
      <c r="L68" s="20" t="n">
        <v>0.41639755</v>
      </c>
      <c r="M68" s="18" t="n">
        <v>0.19360848</v>
      </c>
      <c r="N68" s="20" t="n">
        <v>0.13726072</v>
      </c>
      <c r="O68" s="18" t="n">
        <v>0</v>
      </c>
      <c r="P68" s="20" t="n">
        <v>0</v>
      </c>
      <c r="Q68" s="18" t="n">
        <v>25.28106702</v>
      </c>
      <c r="R68" s="20" t="n">
        <v>1.27144096</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(2720.0/B70*100)</f>
        <v/>
      </c>
      <c r="D70" s="19" t="n">
        <v>387</v>
      </c>
      <c r="E70" s="18" t="n">
        <v>59.16870549</v>
      </c>
      <c r="F70" s="20" t="n">
        <v>3.07327085</v>
      </c>
      <c r="G70" s="18" t="n">
        <v>9.25260973</v>
      </c>
      <c r="H70" s="20" t="n">
        <v>1.88956641</v>
      </c>
      <c r="I70" s="18" t="s">
        <v>349</v>
      </c>
      <c r="J70" s="20" t="s">
        <v>349</v>
      </c>
      <c r="K70" s="18" t="n">
        <v>0</v>
      </c>
      <c r="L70" s="20" t="n">
        <v>0</v>
      </c>
      <c r="M70" s="18" t="n">
        <v>2.56294669</v>
      </c>
      <c r="N70" s="20" t="n">
        <v>1.33270415</v>
      </c>
      <c r="O70" s="18" t="n">
        <v>0</v>
      </c>
      <c r="P70" s="20" t="n">
        <v>0</v>
      </c>
      <c r="Q70" s="18" t="n">
        <v>29.01573808</v>
      </c>
      <c r="R70" s="20" t="n">
        <v>2.6722863</v>
      </c>
    </row>
    <row r="71" spans="1:18">
      <c r="A71" s="15" t="s">
        <v>413</v>
      </c>
      <c r="B71" s="17" t="n">
        <v>2973</v>
      </c>
      <c r="C71" s="18">
        <f>(2627.0/B71*100)</f>
        <v/>
      </c>
      <c r="D71" s="19" t="n">
        <v>346</v>
      </c>
      <c r="E71" s="18" t="n">
        <v>47.03829291</v>
      </c>
      <c r="F71" s="20" t="n">
        <v>2.59888174</v>
      </c>
      <c r="G71" s="18" t="n">
        <v>39.24224575</v>
      </c>
      <c r="H71" s="20" t="n">
        <v>2.41407868</v>
      </c>
      <c r="I71" s="18" t="s">
        <v>349</v>
      </c>
      <c r="J71" s="20" t="s">
        <v>349</v>
      </c>
      <c r="K71" s="18" t="n">
        <v>0</v>
      </c>
      <c r="L71" s="20" t="n">
        <v>0</v>
      </c>
      <c r="M71" s="18" t="n">
        <v>0</v>
      </c>
      <c r="N71" s="20" t="n">
        <v>0</v>
      </c>
      <c r="O71" s="18" t="n">
        <v>0</v>
      </c>
      <c r="P71" s="20" t="n">
        <v>0</v>
      </c>
      <c r="Q71" s="18" t="n">
        <v>13.71946134</v>
      </c>
      <c r="R71" s="20" t="n">
        <v>1.92266358</v>
      </c>
    </row>
    <row r="72" spans="1:18">
      <c r="A72" s="15" t="s">
        <v>414</v>
      </c>
      <c r="B72" s="17" t="n">
        <v>3819</v>
      </c>
      <c r="C72" s="18">
        <f>(3365.0/B72*100)</f>
        <v/>
      </c>
      <c r="D72" s="19" t="n">
        <v>454</v>
      </c>
      <c r="E72" s="18" t="n">
        <v>55.7565693</v>
      </c>
      <c r="F72" s="20" t="n">
        <v>2.55717112</v>
      </c>
      <c r="G72" s="18" t="n">
        <v>28.84673969</v>
      </c>
      <c r="H72" s="20" t="n">
        <v>2.5632884</v>
      </c>
      <c r="I72" s="18" t="s">
        <v>349</v>
      </c>
      <c r="J72" s="20" t="s">
        <v>349</v>
      </c>
      <c r="K72" s="18" t="n">
        <v>0.29083467</v>
      </c>
      <c r="L72" s="20" t="n">
        <v>0.28984997</v>
      </c>
      <c r="M72" s="18" t="n">
        <v>0</v>
      </c>
      <c r="N72" s="20" t="n">
        <v>0</v>
      </c>
      <c r="O72" s="18" t="n">
        <v>0</v>
      </c>
      <c r="P72" s="20" t="n">
        <v>0</v>
      </c>
      <c r="Q72" s="18" t="n">
        <v>15.10585634</v>
      </c>
      <c r="R72" s="20" t="n">
        <v>1.93847429</v>
      </c>
    </row>
    <row r="73" spans="1:18">
      <c r="A73" s="15" t="s">
        <v>415</v>
      </c>
      <c r="B73" s="17" t="n">
        <v>4652</v>
      </c>
      <c r="C73" s="18">
        <f>(4083.0/B73*100)</f>
        <v/>
      </c>
      <c r="D73" s="19" t="n">
        <v>569</v>
      </c>
      <c r="E73" s="18" t="n">
        <v>87.77132039</v>
      </c>
      <c r="F73" s="20" t="n">
        <v>1.79230608</v>
      </c>
      <c r="G73" s="18" t="n">
        <v>3.62402678</v>
      </c>
      <c r="H73" s="20" t="n">
        <v>1.1058277</v>
      </c>
      <c r="I73" s="18" t="s">
        <v>349</v>
      </c>
      <c r="J73" s="20" t="s">
        <v>349</v>
      </c>
      <c r="K73" s="18" t="n">
        <v>0.06323931000000001</v>
      </c>
      <c r="L73" s="20" t="n">
        <v>0.06661947</v>
      </c>
      <c r="M73" s="18" t="n">
        <v>0.11186238</v>
      </c>
      <c r="N73" s="20" t="n">
        <v>0.11223332</v>
      </c>
      <c r="O73" s="18" t="n">
        <v>0</v>
      </c>
      <c r="P73" s="20" t="n">
        <v>0</v>
      </c>
      <c r="Q73" s="18" t="n">
        <v>8.42955115</v>
      </c>
      <c r="R73" s="20" t="n">
        <v>1.60628702</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(2647.0/B75*100)</f>
        <v/>
      </c>
      <c r="D75" s="19" t="n">
        <v>322</v>
      </c>
      <c r="E75" s="18" t="n">
        <v>52.96568306</v>
      </c>
      <c r="F75" s="20" t="n">
        <v>2.54018413</v>
      </c>
      <c r="G75" s="18" t="n">
        <v>1.42068159</v>
      </c>
      <c r="H75" s="20" t="n">
        <v>0.77209402</v>
      </c>
      <c r="I75" s="18" t="s">
        <v>349</v>
      </c>
      <c r="J75" s="20" t="s">
        <v>349</v>
      </c>
      <c r="K75" s="18" t="n">
        <v>1.65301052</v>
      </c>
      <c r="L75" s="20" t="n">
        <v>0.69112292</v>
      </c>
      <c r="M75" s="18" t="n">
        <v>0.98495747</v>
      </c>
      <c r="N75" s="20" t="n">
        <v>0.5443588499999999</v>
      </c>
      <c r="O75" s="18" t="n">
        <v>0</v>
      </c>
      <c r="P75" s="20" t="n">
        <v>0</v>
      </c>
      <c r="Q75" s="18" t="n">
        <v>42.97566736</v>
      </c>
      <c r="R75" s="20" t="n">
        <v>2.7247259</v>
      </c>
    </row>
    <row r="76" spans="1:18">
      <c r="A76" s="15" t="s">
        <v>418</v>
      </c>
      <c r="B76" s="17" t="n">
        <v>7115</v>
      </c>
      <c r="C76" s="18">
        <f>(6257.0/B76*100)</f>
        <v/>
      </c>
      <c r="D76" s="19" t="n">
        <v>858</v>
      </c>
      <c r="E76" s="18" t="n">
        <v>76.09425591999999</v>
      </c>
      <c r="F76" s="20" t="n">
        <v>1.79251075</v>
      </c>
      <c r="G76" s="18" t="n">
        <v>3.80931654</v>
      </c>
      <c r="H76" s="20" t="n">
        <v>0.68421195</v>
      </c>
      <c r="I76" s="18" t="s">
        <v>349</v>
      </c>
      <c r="J76" s="20" t="s">
        <v>349</v>
      </c>
      <c r="K76" s="18" t="n">
        <v>0.55474127</v>
      </c>
      <c r="L76" s="20" t="n">
        <v>0.30155438</v>
      </c>
      <c r="M76" s="18" t="n">
        <v>0.03742071</v>
      </c>
      <c r="N76" s="20" t="n">
        <v>0.0376485</v>
      </c>
      <c r="O76" s="18" t="n">
        <v>0</v>
      </c>
      <c r="P76" s="20" t="n">
        <v>0</v>
      </c>
      <c r="Q76" s="18" t="n">
        <v>19.50426556</v>
      </c>
      <c r="R76" s="20" t="n">
        <v>1.62415903</v>
      </c>
    </row>
    <row r="77" spans="1:18">
      <c r="A77" s="15" t="s">
        <v>419</v>
      </c>
      <c r="B77" s="17" t="n">
        <v>3154</v>
      </c>
      <c r="C77" s="18">
        <f>(2795.0/B77*100)</f>
        <v/>
      </c>
      <c r="D77" s="19" t="n">
        <v>359</v>
      </c>
      <c r="E77" s="18" t="n">
        <v>42.80498853</v>
      </c>
      <c r="F77" s="20" t="n">
        <v>2.55191243</v>
      </c>
      <c r="G77" s="18" t="n">
        <v>1.73660179</v>
      </c>
      <c r="H77" s="20" t="n">
        <v>0.7772875</v>
      </c>
      <c r="I77" s="18" t="s">
        <v>349</v>
      </c>
      <c r="J77" s="20" t="s">
        <v>349</v>
      </c>
      <c r="K77" s="18" t="n">
        <v>0.83410638</v>
      </c>
      <c r="L77" s="20" t="n">
        <v>0.41615715</v>
      </c>
      <c r="M77" s="18" t="n">
        <v>7.17209092</v>
      </c>
      <c r="N77" s="20" t="n">
        <v>1.34875367</v>
      </c>
      <c r="O77" s="18" t="n">
        <v>0</v>
      </c>
      <c r="P77" s="20" t="n">
        <v>0</v>
      </c>
      <c r="Q77" s="18" t="n">
        <v>47.45221238</v>
      </c>
      <c r="R77" s="20" t="n">
        <v>2.85329315</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(4123.0/B81*100)</f>
        <v/>
      </c>
      <c r="D81" s="19" t="n">
        <v>575</v>
      </c>
      <c r="E81" s="18" t="n">
        <v>84.84666589</v>
      </c>
      <c r="F81" s="20" t="n">
        <v>1.96170161</v>
      </c>
      <c r="G81" s="18" t="n">
        <v>6.20627409</v>
      </c>
      <c r="H81" s="20" t="n">
        <v>1.41504302</v>
      </c>
      <c r="I81" s="18" t="s">
        <v>349</v>
      </c>
      <c r="J81" s="20" t="s">
        <v>349</v>
      </c>
      <c r="K81" s="18" t="n">
        <v>0.23666596</v>
      </c>
      <c r="L81" s="20" t="n">
        <v>0.23502724</v>
      </c>
      <c r="M81" s="18" t="n">
        <v>0.2264441</v>
      </c>
      <c r="N81" s="20" t="n">
        <v>0.2263225</v>
      </c>
      <c r="O81" s="18" t="n">
        <v>0</v>
      </c>
      <c r="P81" s="20" t="n">
        <v>0</v>
      </c>
      <c r="Q81" s="18" t="n">
        <v>8.48394996</v>
      </c>
      <c r="R81" s="20" t="n">
        <v>1.46822682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(6351.0/B7*100)</f>
        <v/>
      </c>
      <c r="D7" s="19" t="n">
        <v>812</v>
      </c>
      <c r="E7" s="18" t="n">
        <v>68.54495882000001</v>
      </c>
      <c r="F7" s="20" t="n">
        <v>2.05499513</v>
      </c>
      <c r="G7" s="18" t="n">
        <v>29.43430546</v>
      </c>
      <c r="H7" s="20" t="n">
        <v>2.02047785</v>
      </c>
      <c r="I7" s="18" t="s">
        <v>349</v>
      </c>
      <c r="J7" s="20" t="s">
        <v>349</v>
      </c>
      <c r="K7" s="18" t="n">
        <v>1.03051641</v>
      </c>
      <c r="L7" s="20" t="n">
        <v>0.40472712</v>
      </c>
      <c r="M7" s="18" t="n">
        <v>0</v>
      </c>
      <c r="N7" s="20" t="n">
        <v>0</v>
      </c>
      <c r="O7" s="18" t="n">
        <v>0</v>
      </c>
      <c r="P7" s="20" t="n">
        <v>0</v>
      </c>
      <c r="Q7" s="18" t="n">
        <v>0.99021932</v>
      </c>
      <c r="R7" s="20" t="n">
        <v>0.33400507</v>
      </c>
    </row>
    <row r="8" spans="1:18">
      <c r="A8" s="15" t="s">
        <v>350</v>
      </c>
      <c r="B8" s="17" t="n">
        <v>3443</v>
      </c>
      <c r="C8" s="18">
        <f>(3045.0/B8*100)</f>
        <v/>
      </c>
      <c r="D8" s="19" t="n">
        <v>398</v>
      </c>
      <c r="E8" s="18" t="n">
        <v>54.44129905</v>
      </c>
      <c r="F8" s="20" t="n">
        <v>2.57902512</v>
      </c>
      <c r="G8" s="18" t="n">
        <v>42.06101489</v>
      </c>
      <c r="H8" s="20" t="n">
        <v>2.51418358</v>
      </c>
      <c r="I8" s="18" t="s">
        <v>349</v>
      </c>
      <c r="J8" s="20" t="s">
        <v>349</v>
      </c>
      <c r="K8" s="18" t="n">
        <v>0</v>
      </c>
      <c r="L8" s="20" t="n">
        <v>0</v>
      </c>
      <c r="M8" s="18" t="n">
        <v>0</v>
      </c>
      <c r="N8" s="20" t="n">
        <v>0</v>
      </c>
      <c r="O8" s="18" t="n">
        <v>0</v>
      </c>
      <c r="P8" s="20" t="n">
        <v>0</v>
      </c>
      <c r="Q8" s="18" t="n">
        <v>3.49768606</v>
      </c>
      <c r="R8" s="20" t="n">
        <v>1.40616114</v>
      </c>
    </row>
    <row r="9" spans="1:18">
      <c r="A9" s="15" t="s">
        <v>351</v>
      </c>
      <c r="B9" s="17" t="n">
        <v>4752</v>
      </c>
      <c r="C9" s="18">
        <f>(4212.0/B9*100)</f>
        <v/>
      </c>
      <c r="D9" s="19" t="n">
        <v>540</v>
      </c>
      <c r="E9" s="18" t="n">
        <v>55.78094224</v>
      </c>
      <c r="F9" s="20" t="n">
        <v>2.0782449</v>
      </c>
      <c r="G9" s="18" t="n">
        <v>42.56441387</v>
      </c>
      <c r="H9" s="20" t="n">
        <v>2.002218</v>
      </c>
      <c r="I9" s="18" t="s">
        <v>349</v>
      </c>
      <c r="J9" s="20" t="s">
        <v>349</v>
      </c>
      <c r="K9" s="18" t="n">
        <v>0.17056968</v>
      </c>
      <c r="L9" s="20" t="n">
        <v>0.17072174</v>
      </c>
      <c r="M9" s="18" t="n">
        <v>0</v>
      </c>
      <c r="N9" s="20" t="n">
        <v>0</v>
      </c>
      <c r="O9" s="18" t="n">
        <v>0</v>
      </c>
      <c r="P9" s="20" t="n">
        <v>0</v>
      </c>
      <c r="Q9" s="18" t="n">
        <v>1.48407421</v>
      </c>
      <c r="R9" s="20" t="n">
        <v>0.58563151</v>
      </c>
    </row>
    <row r="10" spans="1:18">
      <c r="A10" s="15" t="s">
        <v>352</v>
      </c>
      <c r="B10" s="17" t="n">
        <v>10022</v>
      </c>
      <c r="C10" s="18">
        <f>(8814.0/B10*100)</f>
        <v/>
      </c>
      <c r="D10" s="19" t="n">
        <v>1208</v>
      </c>
      <c r="E10" s="18" t="n">
        <v>60.3173165</v>
      </c>
      <c r="F10" s="20" t="n">
        <v>1.87191962</v>
      </c>
      <c r="G10" s="18" t="n">
        <v>38.63553665</v>
      </c>
      <c r="H10" s="20" t="n">
        <v>1.79604538</v>
      </c>
      <c r="I10" s="18" t="s">
        <v>349</v>
      </c>
      <c r="J10" s="20" t="s">
        <v>349</v>
      </c>
      <c r="K10" s="18" t="n">
        <v>0.46291025</v>
      </c>
      <c r="L10" s="20" t="n">
        <v>0.32987808</v>
      </c>
      <c r="M10" s="18" t="n">
        <v>0</v>
      </c>
      <c r="N10" s="20" t="n">
        <v>0</v>
      </c>
      <c r="O10" s="18" t="n">
        <v>0</v>
      </c>
      <c r="P10" s="20" t="n">
        <v>0</v>
      </c>
      <c r="Q10" s="18" t="n">
        <v>0.5842366</v>
      </c>
      <c r="R10" s="20" t="n">
        <v>0.29311324</v>
      </c>
    </row>
    <row r="11" spans="1:18">
      <c r="A11" s="15" t="s">
        <v>353</v>
      </c>
      <c r="B11" s="17" t="n">
        <v>3500</v>
      </c>
      <c r="C11" s="18">
        <f>(3090.0/B11*100)</f>
        <v/>
      </c>
      <c r="D11" s="19" t="n">
        <v>410</v>
      </c>
      <c r="E11" s="18" t="n">
        <v>79.46124795999999</v>
      </c>
      <c r="F11" s="20" t="n">
        <v>2.07569766</v>
      </c>
      <c r="G11" s="18" t="n">
        <v>19.38320894</v>
      </c>
      <c r="H11" s="20" t="n">
        <v>2.02724918</v>
      </c>
      <c r="I11" s="18" t="s">
        <v>349</v>
      </c>
      <c r="J11" s="20" t="s">
        <v>349</v>
      </c>
      <c r="K11" s="18" t="n">
        <v>0</v>
      </c>
      <c r="L11" s="20" t="n">
        <v>0</v>
      </c>
      <c r="M11" s="18" t="n">
        <v>0</v>
      </c>
      <c r="N11" s="20" t="n">
        <v>0</v>
      </c>
      <c r="O11" s="18" t="n">
        <v>0</v>
      </c>
      <c r="P11" s="20" t="n">
        <v>0</v>
      </c>
      <c r="Q11" s="18" t="n">
        <v>1.1555431</v>
      </c>
      <c r="R11" s="20" t="n">
        <v>0.54767455</v>
      </c>
    </row>
    <row r="12" spans="1:18">
      <c r="A12" s="15" t="s">
        <v>354</v>
      </c>
      <c r="B12" s="17" t="n">
        <v>3422</v>
      </c>
      <c r="C12" s="18">
        <f>(2988.0/B12*100)</f>
        <v/>
      </c>
      <c r="D12" s="19" t="n">
        <v>434</v>
      </c>
      <c r="E12" s="18" t="n">
        <v>67.10877343</v>
      </c>
      <c r="F12" s="20" t="n">
        <v>2.55861559</v>
      </c>
      <c r="G12" s="18" t="n">
        <v>31.56422257</v>
      </c>
      <c r="H12" s="20" t="n">
        <v>2.58040687</v>
      </c>
      <c r="I12" s="18" t="s">
        <v>349</v>
      </c>
      <c r="J12" s="20" t="s">
        <v>349</v>
      </c>
      <c r="K12" s="18" t="n">
        <v>0</v>
      </c>
      <c r="L12" s="20" t="n">
        <v>0</v>
      </c>
      <c r="M12" s="18" t="n">
        <v>0</v>
      </c>
      <c r="N12" s="20" t="n">
        <v>0</v>
      </c>
      <c r="O12" s="18" t="n">
        <v>0</v>
      </c>
      <c r="P12" s="20" t="n">
        <v>0</v>
      </c>
      <c r="Q12" s="18" t="n">
        <v>1.32700401</v>
      </c>
      <c r="R12" s="20" t="n">
        <v>0.6163993800000001</v>
      </c>
    </row>
    <row r="13" spans="1:18">
      <c r="A13" s="15" t="s">
        <v>355</v>
      </c>
      <c r="B13" s="17" t="n">
        <v>3602</v>
      </c>
      <c r="C13" s="18">
        <f>(3181.0/B13*100)</f>
        <v/>
      </c>
      <c r="D13" s="19" t="n">
        <v>421</v>
      </c>
      <c r="E13" s="18" t="n">
        <v>61.80879036</v>
      </c>
      <c r="F13" s="20" t="n">
        <v>2.89710326</v>
      </c>
      <c r="G13" s="18" t="n">
        <v>35.55425651</v>
      </c>
      <c r="H13" s="20" t="n">
        <v>2.83838508</v>
      </c>
      <c r="I13" s="18" t="s">
        <v>349</v>
      </c>
      <c r="J13" s="20" t="s">
        <v>349</v>
      </c>
      <c r="K13" s="18" t="n">
        <v>0.9107489</v>
      </c>
      <c r="L13" s="20" t="n">
        <v>0.63622615</v>
      </c>
      <c r="M13" s="18" t="n">
        <v>0</v>
      </c>
      <c r="N13" s="20" t="n">
        <v>0</v>
      </c>
      <c r="O13" s="18" t="n">
        <v>0</v>
      </c>
      <c r="P13" s="20" t="n">
        <v>0</v>
      </c>
      <c r="Q13" s="18" t="n">
        <v>1.72620423</v>
      </c>
      <c r="R13" s="20" t="n">
        <v>0.8133250400000001</v>
      </c>
    </row>
    <row r="14" spans="1:18">
      <c r="A14" s="15" t="s">
        <v>356</v>
      </c>
      <c r="B14" s="17" t="n">
        <v>2788</v>
      </c>
      <c r="C14" s="18">
        <f>(2442.0/B14*100)</f>
        <v/>
      </c>
      <c r="D14" s="19" t="n">
        <v>346</v>
      </c>
      <c r="E14" s="18" t="n">
        <v>57.79160831</v>
      </c>
      <c r="F14" s="20" t="n">
        <v>3.24261097</v>
      </c>
      <c r="G14" s="18" t="n">
        <v>40.97869802</v>
      </c>
      <c r="H14" s="20" t="n">
        <v>3.21713122</v>
      </c>
      <c r="I14" s="18" t="s">
        <v>349</v>
      </c>
      <c r="J14" s="20" t="s">
        <v>349</v>
      </c>
      <c r="K14" s="18" t="n">
        <v>0.46472056</v>
      </c>
      <c r="L14" s="20" t="n">
        <v>0.32107086</v>
      </c>
      <c r="M14" s="18" t="n">
        <v>0</v>
      </c>
      <c r="N14" s="20" t="n">
        <v>0</v>
      </c>
      <c r="O14" s="18" t="n">
        <v>0</v>
      </c>
      <c r="P14" s="20" t="n">
        <v>0</v>
      </c>
      <c r="Q14" s="18" t="n">
        <v>0.76497311</v>
      </c>
      <c r="R14" s="20" t="n">
        <v>0.42802866</v>
      </c>
    </row>
    <row r="15" spans="1:18">
      <c r="A15" s="15" t="s">
        <v>357</v>
      </c>
      <c r="B15" s="17" t="n">
        <v>2863</v>
      </c>
      <c r="C15" s="18">
        <f>(2510.0/B15*100)</f>
        <v/>
      </c>
      <c r="D15" s="19" t="n">
        <v>353</v>
      </c>
      <c r="E15" s="18" t="n">
        <v>52.0471989</v>
      </c>
      <c r="F15" s="20" t="n">
        <v>2.71569217</v>
      </c>
      <c r="G15" s="18" t="n">
        <v>47.10056263</v>
      </c>
      <c r="H15" s="20" t="n">
        <v>2.71037182</v>
      </c>
      <c r="I15" s="18" t="s">
        <v>349</v>
      </c>
      <c r="J15" s="20" t="s">
        <v>349</v>
      </c>
      <c r="K15" s="18" t="n">
        <v>0.27833763</v>
      </c>
      <c r="L15" s="20" t="n">
        <v>0.27367863</v>
      </c>
      <c r="M15" s="18" t="n">
        <v>0</v>
      </c>
      <c r="N15" s="20" t="n">
        <v>0</v>
      </c>
      <c r="O15" s="18" t="n">
        <v>0</v>
      </c>
      <c r="P15" s="20" t="n">
        <v>0</v>
      </c>
      <c r="Q15" s="18" t="n">
        <v>0.57390084</v>
      </c>
      <c r="R15" s="20" t="n">
        <v>0.41223291</v>
      </c>
    </row>
    <row r="16" spans="1:18">
      <c r="A16" s="15" t="s">
        <v>358</v>
      </c>
      <c r="B16" s="17" t="n">
        <v>3111</v>
      </c>
      <c r="C16" s="18">
        <f>(2726.0/B16*100)</f>
        <v/>
      </c>
      <c r="D16" s="19" t="n">
        <v>385</v>
      </c>
      <c r="E16" s="18" t="n">
        <v>58.49450291</v>
      </c>
      <c r="F16" s="20" t="n">
        <v>2.48579077</v>
      </c>
      <c r="G16" s="18" t="n">
        <v>39.88860226</v>
      </c>
      <c r="H16" s="20" t="n">
        <v>2.47099871</v>
      </c>
      <c r="I16" s="18" t="s">
        <v>349</v>
      </c>
      <c r="J16" s="20" t="s">
        <v>349</v>
      </c>
      <c r="K16" s="18" t="n">
        <v>0.96373949</v>
      </c>
      <c r="L16" s="20" t="n">
        <v>0.51433421</v>
      </c>
      <c r="M16" s="18" t="n">
        <v>0</v>
      </c>
      <c r="N16" s="20" t="n">
        <v>0</v>
      </c>
      <c r="O16" s="18" t="n">
        <v>0</v>
      </c>
      <c r="P16" s="20" t="n">
        <v>0</v>
      </c>
      <c r="Q16" s="18" t="n">
        <v>0.65315534</v>
      </c>
      <c r="R16" s="20" t="n">
        <v>0.38682759</v>
      </c>
    </row>
    <row r="17" spans="1:18">
      <c r="A17" s="15" t="s">
        <v>359</v>
      </c>
      <c r="B17" s="17" t="n">
        <v>3197</v>
      </c>
      <c r="C17" s="18">
        <f>(2821.0/B17*100)</f>
        <v/>
      </c>
      <c r="D17" s="19" t="n">
        <v>376</v>
      </c>
      <c r="E17" s="18" t="n">
        <v>50.40156849</v>
      </c>
      <c r="F17" s="20" t="n">
        <v>2.31102759</v>
      </c>
      <c r="G17" s="18" t="n">
        <v>47.79031614</v>
      </c>
      <c r="H17" s="20" t="n">
        <v>2.3412424</v>
      </c>
      <c r="I17" s="18" t="s">
        <v>349</v>
      </c>
      <c r="J17" s="20" t="s">
        <v>349</v>
      </c>
      <c r="K17" s="18" t="n">
        <v>0.21993692</v>
      </c>
      <c r="L17" s="20" t="n">
        <v>0.15341449</v>
      </c>
      <c r="M17" s="18" t="n">
        <v>0</v>
      </c>
      <c r="N17" s="20" t="n">
        <v>0</v>
      </c>
      <c r="O17" s="18" t="n">
        <v>0</v>
      </c>
      <c r="P17" s="20" t="n">
        <v>0</v>
      </c>
      <c r="Q17" s="18" t="n">
        <v>1.58817845</v>
      </c>
      <c r="R17" s="20" t="n">
        <v>0.67328753</v>
      </c>
    </row>
    <row r="18" spans="1:18">
      <c r="A18" s="15" t="s">
        <v>360</v>
      </c>
      <c r="B18" s="17" t="n">
        <v>2706</v>
      </c>
      <c r="C18" s="18">
        <f>(2342.0/B18*100)</f>
        <v/>
      </c>
      <c r="D18" s="19" t="n">
        <v>364</v>
      </c>
      <c r="E18" s="18" t="n">
        <v>71.75977989</v>
      </c>
      <c r="F18" s="20" t="n">
        <v>2.65094548</v>
      </c>
      <c r="G18" s="18" t="n">
        <v>27.00144332</v>
      </c>
      <c r="H18" s="20" t="n">
        <v>2.64962435</v>
      </c>
      <c r="I18" s="18" t="s">
        <v>349</v>
      </c>
      <c r="J18" s="20" t="s">
        <v>349</v>
      </c>
      <c r="K18" s="18" t="n">
        <v>1.02597593</v>
      </c>
      <c r="L18" s="20" t="n">
        <v>0.75824656</v>
      </c>
      <c r="M18" s="18" t="n">
        <v>0</v>
      </c>
      <c r="N18" s="20" t="n">
        <v>0</v>
      </c>
      <c r="O18" s="18" t="n">
        <v>0</v>
      </c>
      <c r="P18" s="20" t="n">
        <v>0</v>
      </c>
      <c r="Q18" s="18" t="n">
        <v>0.21280086</v>
      </c>
      <c r="R18" s="20" t="n">
        <v>0.21335904</v>
      </c>
    </row>
    <row r="19" spans="1:18">
      <c r="A19" s="15" t="s">
        <v>361</v>
      </c>
      <c r="B19" s="17" t="n">
        <v>2850</v>
      </c>
      <c r="C19" s="18">
        <f>(2493.0/B19*100)</f>
        <v/>
      </c>
      <c r="D19" s="19" t="n">
        <v>357</v>
      </c>
      <c r="E19" s="18" t="n">
        <v>62.98174484</v>
      </c>
      <c r="F19" s="20" t="n">
        <v>2.87249581</v>
      </c>
      <c r="G19" s="18" t="n">
        <v>35.11848473</v>
      </c>
      <c r="H19" s="20" t="n">
        <v>2.79378738</v>
      </c>
      <c r="I19" s="18" t="s">
        <v>349</v>
      </c>
      <c r="J19" s="20" t="s">
        <v>349</v>
      </c>
      <c r="K19" s="18" t="n">
        <v>0</v>
      </c>
      <c r="L19" s="20" t="n">
        <v>0</v>
      </c>
      <c r="M19" s="18" t="n">
        <v>0</v>
      </c>
      <c r="N19" s="20" t="n">
        <v>0</v>
      </c>
      <c r="O19" s="18" t="n">
        <v>0</v>
      </c>
      <c r="P19" s="20" t="n">
        <v>0</v>
      </c>
      <c r="Q19" s="18" t="n">
        <v>1.89977043</v>
      </c>
      <c r="R19" s="20" t="n">
        <v>1.00917949</v>
      </c>
    </row>
    <row r="20" spans="1:18">
      <c r="A20" s="15" t="s">
        <v>362</v>
      </c>
      <c r="B20" s="17" t="n">
        <v>1741</v>
      </c>
      <c r="C20" s="18">
        <f>(1529.0/B20*100)</f>
        <v/>
      </c>
      <c r="D20" s="19" t="n">
        <v>212</v>
      </c>
      <c r="E20" s="18" t="n">
        <v>61.50933761</v>
      </c>
      <c r="F20" s="20" t="n">
        <v>3.2480081</v>
      </c>
      <c r="G20" s="18" t="n">
        <v>35.58902267</v>
      </c>
      <c r="H20" s="20" t="n">
        <v>3.23454656</v>
      </c>
      <c r="I20" s="18" t="s">
        <v>349</v>
      </c>
      <c r="J20" s="20" t="s">
        <v>349</v>
      </c>
      <c r="K20" s="18" t="n">
        <v>0.46045126</v>
      </c>
      <c r="L20" s="20" t="n">
        <v>0.46129879</v>
      </c>
      <c r="M20" s="18" t="n">
        <v>0</v>
      </c>
      <c r="N20" s="20" t="n">
        <v>0</v>
      </c>
      <c r="O20" s="18" t="n">
        <v>0</v>
      </c>
      <c r="P20" s="20" t="n">
        <v>0</v>
      </c>
      <c r="Q20" s="18" t="n">
        <v>2.44118846</v>
      </c>
      <c r="R20" s="20" t="n">
        <v>1.09225001</v>
      </c>
    </row>
    <row r="21" spans="1:18">
      <c r="A21" s="15" t="s">
        <v>363</v>
      </c>
      <c r="B21" s="17" t="n">
        <v>2833</v>
      </c>
      <c r="C21" s="18">
        <f>(2348.0/B21*100)</f>
        <v/>
      </c>
      <c r="D21" s="19" t="n">
        <v>485</v>
      </c>
      <c r="E21" s="18" t="n">
        <v>63.56390908</v>
      </c>
      <c r="F21" s="20" t="n">
        <v>2.20109763</v>
      </c>
      <c r="G21" s="18" t="n">
        <v>35.48787664</v>
      </c>
      <c r="H21" s="20" t="n">
        <v>2.19111569</v>
      </c>
      <c r="I21" s="18" t="s">
        <v>349</v>
      </c>
      <c r="J21" s="20" t="s">
        <v>349</v>
      </c>
      <c r="K21" s="18" t="n">
        <v>0.38171532</v>
      </c>
      <c r="L21" s="20" t="n">
        <v>0.26434379</v>
      </c>
      <c r="M21" s="18" t="n">
        <v>0</v>
      </c>
      <c r="N21" s="20" t="n">
        <v>0</v>
      </c>
      <c r="O21" s="18" t="n">
        <v>0</v>
      </c>
      <c r="P21" s="20" t="n">
        <v>0</v>
      </c>
      <c r="Q21" s="18" t="n">
        <v>0.56649896</v>
      </c>
      <c r="R21" s="20" t="n">
        <v>0.32776584</v>
      </c>
    </row>
    <row r="22" spans="1:18">
      <c r="A22" s="15" t="s">
        <v>364</v>
      </c>
      <c r="B22" s="17" t="n">
        <v>3667</v>
      </c>
      <c r="C22" s="18">
        <f>(3236.0/B22*100)</f>
        <v/>
      </c>
      <c r="D22" s="19" t="n">
        <v>431</v>
      </c>
      <c r="E22" s="18" t="n">
        <v>63.0084594</v>
      </c>
      <c r="F22" s="20" t="n">
        <v>2.68857612</v>
      </c>
      <c r="G22" s="18" t="n">
        <v>35.86531122</v>
      </c>
      <c r="H22" s="20" t="n">
        <v>2.52349508</v>
      </c>
      <c r="I22" s="18" t="s">
        <v>349</v>
      </c>
      <c r="J22" s="20" t="s">
        <v>349</v>
      </c>
      <c r="K22" s="18" t="n">
        <v>0.45405088</v>
      </c>
      <c r="L22" s="20" t="n">
        <v>0.3456337</v>
      </c>
      <c r="M22" s="18" t="n">
        <v>0</v>
      </c>
      <c r="N22" s="20" t="n">
        <v>0</v>
      </c>
      <c r="O22" s="18" t="n">
        <v>0</v>
      </c>
      <c r="P22" s="20" t="n">
        <v>0</v>
      </c>
      <c r="Q22" s="18" t="n">
        <v>0.6721785</v>
      </c>
      <c r="R22" s="20" t="n">
        <v>0.39191824</v>
      </c>
    </row>
    <row r="23" spans="1:18">
      <c r="A23" s="15" t="s">
        <v>365</v>
      </c>
      <c r="B23" s="17" t="n">
        <v>5792</v>
      </c>
      <c r="C23" s="18">
        <f>(5072.0/B23*100)</f>
        <v/>
      </c>
      <c r="D23" s="19" t="n">
        <v>720</v>
      </c>
      <c r="E23" s="18" t="n">
        <v>49.91439521</v>
      </c>
      <c r="F23" s="20" t="n">
        <v>3.09243575</v>
      </c>
      <c r="G23" s="18" t="n">
        <v>48.43618889</v>
      </c>
      <c r="H23" s="20" t="n">
        <v>3.11415943</v>
      </c>
      <c r="I23" s="18" t="s">
        <v>349</v>
      </c>
      <c r="J23" s="20" t="s">
        <v>349</v>
      </c>
      <c r="K23" s="18" t="n">
        <v>0.2801376</v>
      </c>
      <c r="L23" s="20" t="n">
        <v>0.26925431</v>
      </c>
      <c r="M23" s="18" t="n">
        <v>0</v>
      </c>
      <c r="N23" s="20" t="n">
        <v>0</v>
      </c>
      <c r="O23" s="18" t="n">
        <v>0</v>
      </c>
      <c r="P23" s="20" t="n">
        <v>0</v>
      </c>
      <c r="Q23" s="18" t="n">
        <v>1.36927829</v>
      </c>
      <c r="R23" s="20" t="n">
        <v>0.60797041</v>
      </c>
    </row>
    <row r="24" spans="1:18">
      <c r="A24" s="15" t="s">
        <v>366</v>
      </c>
      <c r="B24" s="17" t="n">
        <v>3309</v>
      </c>
      <c r="C24" s="18">
        <f>(2903.0/B24*100)</f>
        <v/>
      </c>
      <c r="D24" s="19" t="n">
        <v>406</v>
      </c>
      <c r="E24" s="18" t="n">
        <v>54.04354575</v>
      </c>
      <c r="F24" s="20" t="n">
        <v>2.34005739</v>
      </c>
      <c r="G24" s="18" t="n">
        <v>45.33597616</v>
      </c>
      <c r="H24" s="20" t="n">
        <v>2.33510835</v>
      </c>
      <c r="I24" s="18" t="s">
        <v>349</v>
      </c>
      <c r="J24" s="20" t="s">
        <v>349</v>
      </c>
      <c r="K24" s="18" t="n">
        <v>0</v>
      </c>
      <c r="L24" s="20" t="n">
        <v>0</v>
      </c>
      <c r="M24" s="18" t="n">
        <v>0</v>
      </c>
      <c r="N24" s="20" t="n">
        <v>0</v>
      </c>
      <c r="O24" s="18" t="n">
        <v>0</v>
      </c>
      <c r="P24" s="20" t="n">
        <v>0</v>
      </c>
      <c r="Q24" s="18" t="n">
        <v>0.6204781</v>
      </c>
      <c r="R24" s="20" t="n">
        <v>0.3532022</v>
      </c>
    </row>
    <row r="25" spans="1:18">
      <c r="A25" s="15" t="s">
        <v>367</v>
      </c>
      <c r="B25" s="17" t="n">
        <v>2669</v>
      </c>
      <c r="C25" s="18">
        <f>(2342.0/B25*100)</f>
        <v/>
      </c>
      <c r="D25" s="19" t="n">
        <v>327</v>
      </c>
      <c r="E25" s="18" t="n">
        <v>63.63012026</v>
      </c>
      <c r="F25" s="20" t="n">
        <v>3.08314468</v>
      </c>
      <c r="G25" s="18" t="n">
        <v>35.78188568</v>
      </c>
      <c r="H25" s="20" t="n">
        <v>3.03144528</v>
      </c>
      <c r="I25" s="18" t="s">
        <v>349</v>
      </c>
      <c r="J25" s="20" t="s">
        <v>349</v>
      </c>
      <c r="K25" s="18" t="n">
        <v>0</v>
      </c>
      <c r="L25" s="20" t="n">
        <v>0</v>
      </c>
      <c r="M25" s="18" t="n">
        <v>0</v>
      </c>
      <c r="N25" s="20" t="n">
        <v>0</v>
      </c>
      <c r="O25" s="18" t="n">
        <v>0</v>
      </c>
      <c r="P25" s="20" t="n">
        <v>0</v>
      </c>
      <c r="Q25" s="18" t="n">
        <v>0.58799407</v>
      </c>
      <c r="R25" s="20" t="n">
        <v>0.42117998</v>
      </c>
    </row>
    <row r="26" spans="1:18">
      <c r="A26" s="15" t="s">
        <v>368</v>
      </c>
      <c r="B26" s="17" t="n">
        <v>2419</v>
      </c>
      <c r="C26" s="18">
        <f>(2123.0/B26*100)</f>
        <v/>
      </c>
      <c r="D26" s="19" t="n">
        <v>296</v>
      </c>
      <c r="E26" s="18" t="n">
        <v>60.82976028</v>
      </c>
      <c r="F26" s="20" t="n">
        <v>3.04045067</v>
      </c>
      <c r="G26" s="18" t="n">
        <v>38.74651516</v>
      </c>
      <c r="H26" s="20" t="n">
        <v>3.07903378</v>
      </c>
      <c r="I26" s="18" t="s">
        <v>349</v>
      </c>
      <c r="J26" s="20" t="s">
        <v>349</v>
      </c>
      <c r="K26" s="18" t="n">
        <v>0</v>
      </c>
      <c r="L26" s="20" t="n">
        <v>0</v>
      </c>
      <c r="M26" s="18" t="n">
        <v>0</v>
      </c>
      <c r="N26" s="20" t="n">
        <v>0</v>
      </c>
      <c r="O26" s="18" t="n">
        <v>0</v>
      </c>
      <c r="P26" s="20" t="n">
        <v>0</v>
      </c>
      <c r="Q26" s="18" t="n">
        <v>0.42372456</v>
      </c>
      <c r="R26" s="20" t="n">
        <v>0.4293425</v>
      </c>
    </row>
    <row r="27" spans="1:18">
      <c r="A27" s="15" t="s">
        <v>369</v>
      </c>
      <c r="B27" s="17" t="n">
        <v>2683</v>
      </c>
      <c r="C27" s="18">
        <f>(2374.0/B27*100)</f>
        <v/>
      </c>
      <c r="D27" s="19" t="n">
        <v>309</v>
      </c>
      <c r="E27" s="18" t="n">
        <v>60.86769368</v>
      </c>
      <c r="F27" s="20" t="n">
        <v>3.04838754</v>
      </c>
      <c r="G27" s="18" t="n">
        <v>38.4915499</v>
      </c>
      <c r="H27" s="20" t="n">
        <v>3.09376715</v>
      </c>
      <c r="I27" s="18" t="s">
        <v>349</v>
      </c>
      <c r="J27" s="20" t="s">
        <v>349</v>
      </c>
      <c r="K27" s="18" t="n">
        <v>0</v>
      </c>
      <c r="L27" s="20" t="n">
        <v>0</v>
      </c>
      <c r="M27" s="18" t="n">
        <v>0</v>
      </c>
      <c r="N27" s="20" t="n">
        <v>0</v>
      </c>
      <c r="O27" s="18" t="n">
        <v>0</v>
      </c>
      <c r="P27" s="20" t="n">
        <v>0</v>
      </c>
      <c r="Q27" s="18" t="n">
        <v>0.64075643</v>
      </c>
      <c r="R27" s="20" t="n">
        <v>0.44591228</v>
      </c>
    </row>
    <row r="28" spans="1:18">
      <c r="A28" s="15" t="s">
        <v>370</v>
      </c>
      <c r="B28" s="17" t="n">
        <v>3803</v>
      </c>
      <c r="C28" s="18">
        <f>(3359.0/B28*100)</f>
        <v/>
      </c>
      <c r="D28" s="19" t="n">
        <v>444</v>
      </c>
      <c r="E28" s="18" t="n">
        <v>77.59261986999999</v>
      </c>
      <c r="F28" s="20" t="n">
        <v>2.37126084</v>
      </c>
      <c r="G28" s="18" t="n">
        <v>20.4109024</v>
      </c>
      <c r="H28" s="20" t="n">
        <v>1.98087975</v>
      </c>
      <c r="I28" s="18" t="s">
        <v>349</v>
      </c>
      <c r="J28" s="20" t="s">
        <v>349</v>
      </c>
      <c r="K28" s="18" t="n">
        <v>1.12705186</v>
      </c>
      <c r="L28" s="20" t="n">
        <v>1.05199857</v>
      </c>
      <c r="M28" s="18" t="n">
        <v>0</v>
      </c>
      <c r="N28" s="20" t="n">
        <v>0</v>
      </c>
      <c r="O28" s="18" t="n">
        <v>0</v>
      </c>
      <c r="P28" s="20" t="n">
        <v>0</v>
      </c>
      <c r="Q28" s="18" t="n">
        <v>0.86942587</v>
      </c>
      <c r="R28" s="20" t="n">
        <v>0.48901608</v>
      </c>
    </row>
    <row r="29" spans="1:18">
      <c r="A29" s="15" t="s">
        <v>371</v>
      </c>
      <c r="B29" s="17" t="n">
        <v>2700</v>
      </c>
      <c r="C29" s="18">
        <f>(2367.0/B29*100)</f>
        <v/>
      </c>
      <c r="D29" s="19" t="n">
        <v>333</v>
      </c>
      <c r="E29" s="18" t="n">
        <v>65.03120039</v>
      </c>
      <c r="F29" s="20" t="n">
        <v>2.5087394</v>
      </c>
      <c r="G29" s="18" t="n">
        <v>33.98772816</v>
      </c>
      <c r="H29" s="20" t="n">
        <v>2.60379697</v>
      </c>
      <c r="I29" s="18" t="s">
        <v>349</v>
      </c>
      <c r="J29" s="20" t="s">
        <v>349</v>
      </c>
      <c r="K29" s="18" t="n">
        <v>0</v>
      </c>
      <c r="L29" s="20" t="n">
        <v>0</v>
      </c>
      <c r="M29" s="18" t="n">
        <v>0</v>
      </c>
      <c r="N29" s="20" t="n">
        <v>0</v>
      </c>
      <c r="O29" s="18" t="n">
        <v>0</v>
      </c>
      <c r="P29" s="20" t="n">
        <v>0</v>
      </c>
      <c r="Q29" s="18" t="n">
        <v>0.98107145</v>
      </c>
      <c r="R29" s="20" t="n">
        <v>0.49832619</v>
      </c>
    </row>
    <row r="30" spans="1:18">
      <c r="A30" s="15" t="s">
        <v>372</v>
      </c>
      <c r="B30" s="17" t="n">
        <v>2257</v>
      </c>
      <c r="C30" s="18">
        <f>(1985.0/B30*100)</f>
        <v/>
      </c>
      <c r="D30" s="19" t="n">
        <v>272</v>
      </c>
      <c r="E30" s="18" t="n">
        <v>64.29022042</v>
      </c>
      <c r="F30" s="20" t="n">
        <v>2.87678257</v>
      </c>
      <c r="G30" s="18" t="n">
        <v>33.68753328</v>
      </c>
      <c r="H30" s="20" t="n">
        <v>2.93106431</v>
      </c>
      <c r="I30" s="18" t="s">
        <v>349</v>
      </c>
      <c r="J30" s="20" t="s">
        <v>349</v>
      </c>
      <c r="K30" s="18" t="n">
        <v>0.95525954</v>
      </c>
      <c r="L30" s="20" t="n">
        <v>0.67417083</v>
      </c>
      <c r="M30" s="18" t="n">
        <v>0</v>
      </c>
      <c r="N30" s="20" t="n">
        <v>0</v>
      </c>
      <c r="O30" s="18" t="n">
        <v>0</v>
      </c>
      <c r="P30" s="20" t="n">
        <v>0</v>
      </c>
      <c r="Q30" s="18" t="n">
        <v>1.06698677</v>
      </c>
      <c r="R30" s="20" t="n">
        <v>0.6498631</v>
      </c>
    </row>
    <row r="31" spans="1:18">
      <c r="A31" s="15" t="s">
        <v>373</v>
      </c>
      <c r="B31" s="17" t="n">
        <v>2706</v>
      </c>
      <c r="C31" s="18">
        <f>(2371.0/B31*100)</f>
        <v/>
      </c>
      <c r="D31" s="19" t="n">
        <v>335</v>
      </c>
      <c r="E31" s="18" t="n">
        <v>74.30431492</v>
      </c>
      <c r="F31" s="20" t="n">
        <v>2.54394549</v>
      </c>
      <c r="G31" s="18" t="n">
        <v>23.58794062</v>
      </c>
      <c r="H31" s="20" t="n">
        <v>2.42866814</v>
      </c>
      <c r="I31" s="18" t="s">
        <v>349</v>
      </c>
      <c r="J31" s="20" t="s">
        <v>349</v>
      </c>
      <c r="K31" s="18" t="n">
        <v>0.6033067</v>
      </c>
      <c r="L31" s="20" t="n">
        <v>0.42502824</v>
      </c>
      <c r="M31" s="18" t="n">
        <v>0</v>
      </c>
      <c r="N31" s="20" t="n">
        <v>0</v>
      </c>
      <c r="O31" s="18" t="n">
        <v>0</v>
      </c>
      <c r="P31" s="20" t="n">
        <v>0</v>
      </c>
      <c r="Q31" s="18" t="n">
        <v>1.50443775</v>
      </c>
      <c r="R31" s="20" t="n">
        <v>0.67152288</v>
      </c>
    </row>
    <row r="32" spans="1:18">
      <c r="A32" s="15" t="s">
        <v>374</v>
      </c>
      <c r="B32" s="17" t="n">
        <v>2209</v>
      </c>
      <c r="C32" s="18">
        <f>(1858.0/B32*100)</f>
        <v/>
      </c>
      <c r="D32" s="19" t="n">
        <v>351</v>
      </c>
      <c r="E32" s="18" t="n">
        <v>62.55738664</v>
      </c>
      <c r="F32" s="20" t="n">
        <v>2.74585079</v>
      </c>
      <c r="G32" s="18" t="n">
        <v>37.44261336</v>
      </c>
      <c r="H32" s="20" t="n">
        <v>2.74585079</v>
      </c>
      <c r="I32" s="18" t="s">
        <v>349</v>
      </c>
      <c r="J32" s="20" t="s">
        <v>349</v>
      </c>
      <c r="K32" s="18" t="n">
        <v>0</v>
      </c>
      <c r="L32" s="20" t="n">
        <v>0</v>
      </c>
      <c r="M32" s="18" t="n">
        <v>0</v>
      </c>
      <c r="N32" s="20" t="n">
        <v>0</v>
      </c>
      <c r="O32" s="18" t="n">
        <v>0</v>
      </c>
      <c r="P32" s="20" t="n">
        <v>0</v>
      </c>
      <c r="Q32" s="18" t="n">
        <v>0</v>
      </c>
      <c r="R32" s="20" t="n">
        <v>0</v>
      </c>
    </row>
    <row r="33" spans="1:18">
      <c r="A33" s="15" t="s">
        <v>375</v>
      </c>
      <c r="B33" s="17" t="n">
        <v>3651</v>
      </c>
      <c r="C33" s="18">
        <f>(3201.0/B33*100)</f>
        <v/>
      </c>
      <c r="D33" s="19" t="n">
        <v>450</v>
      </c>
      <c r="E33" s="18" t="n">
        <v>55.33677469</v>
      </c>
      <c r="F33" s="20" t="n">
        <v>2.73478926</v>
      </c>
      <c r="G33" s="18" t="n">
        <v>43.728875</v>
      </c>
      <c r="H33" s="20" t="n">
        <v>2.70514816</v>
      </c>
      <c r="I33" s="18" t="s">
        <v>349</v>
      </c>
      <c r="J33" s="20" t="s">
        <v>349</v>
      </c>
      <c r="K33" s="18" t="n">
        <v>0.28363246</v>
      </c>
      <c r="L33" s="20" t="n">
        <v>0.28583983</v>
      </c>
      <c r="M33" s="18" t="n">
        <v>0</v>
      </c>
      <c r="N33" s="20" t="n">
        <v>0</v>
      </c>
      <c r="O33" s="18" t="n">
        <v>0</v>
      </c>
      <c r="P33" s="20" t="n">
        <v>0</v>
      </c>
      <c r="Q33" s="18" t="n">
        <v>0.65071785</v>
      </c>
      <c r="R33" s="20" t="n">
        <v>0.41359883</v>
      </c>
    </row>
    <row r="34" spans="1:18">
      <c r="A34" s="15" t="s">
        <v>376</v>
      </c>
      <c r="B34" s="17" t="n">
        <v>3035</v>
      </c>
      <c r="C34" s="18">
        <f>(2694.0/B34*100)</f>
        <v/>
      </c>
      <c r="D34" s="19" t="n">
        <v>341</v>
      </c>
      <c r="E34" s="18" t="n">
        <v>67.73971888</v>
      </c>
      <c r="F34" s="20" t="n">
        <v>2.27361488</v>
      </c>
      <c r="G34" s="18" t="n">
        <v>31.91097933</v>
      </c>
      <c r="H34" s="20" t="n">
        <v>2.30854171</v>
      </c>
      <c r="I34" s="18" t="s">
        <v>349</v>
      </c>
      <c r="J34" s="20" t="s">
        <v>349</v>
      </c>
      <c r="K34" s="18" t="n">
        <v>0</v>
      </c>
      <c r="L34" s="20" t="n">
        <v>0</v>
      </c>
      <c r="M34" s="18" t="n">
        <v>0</v>
      </c>
      <c r="N34" s="20" t="n">
        <v>0</v>
      </c>
      <c r="O34" s="18" t="n">
        <v>0</v>
      </c>
      <c r="P34" s="20" t="n">
        <v>0</v>
      </c>
      <c r="Q34" s="18" t="n">
        <v>0.34930179</v>
      </c>
      <c r="R34" s="20" t="n">
        <v>0.34826468</v>
      </c>
    </row>
    <row r="35" spans="1:18">
      <c r="A35" s="15" t="s">
        <v>377</v>
      </c>
      <c r="B35" s="17" t="n">
        <v>2901</v>
      </c>
      <c r="C35" s="18">
        <f>(2567.0/B35*100)</f>
        <v/>
      </c>
      <c r="D35" s="19" t="n">
        <v>334</v>
      </c>
      <c r="E35" s="18" t="n">
        <v>47.76685363</v>
      </c>
      <c r="F35" s="20" t="n">
        <v>3.85012208</v>
      </c>
      <c r="G35" s="18" t="n">
        <v>52.09262563</v>
      </c>
      <c r="H35" s="20" t="n">
        <v>3.85889568</v>
      </c>
      <c r="I35" s="18" t="s">
        <v>349</v>
      </c>
      <c r="J35" s="20" t="s">
        <v>349</v>
      </c>
      <c r="K35" s="18" t="n">
        <v>0.14052074</v>
      </c>
      <c r="L35" s="20" t="n">
        <v>0.14185936</v>
      </c>
      <c r="M35" s="18" t="n">
        <v>0</v>
      </c>
      <c r="N35" s="20" t="n">
        <v>0</v>
      </c>
      <c r="O35" s="18" t="n">
        <v>0</v>
      </c>
      <c r="P35" s="20" t="n">
        <v>0</v>
      </c>
      <c r="Q35" s="18" t="n">
        <v>0</v>
      </c>
      <c r="R35" s="20" t="n">
        <v>0</v>
      </c>
    </row>
    <row r="36" spans="1:18">
      <c r="A36" s="15" t="s">
        <v>378</v>
      </c>
      <c r="B36" s="17" t="n">
        <v>3404</v>
      </c>
      <c r="C36" s="18">
        <f>(3009.0/B36*100)</f>
        <v/>
      </c>
      <c r="D36" s="19" t="n">
        <v>395</v>
      </c>
      <c r="E36" s="18" t="n">
        <v>59.25212894</v>
      </c>
      <c r="F36" s="20" t="n">
        <v>2.42701113</v>
      </c>
      <c r="G36" s="18" t="n">
        <v>38.9226928</v>
      </c>
      <c r="H36" s="20" t="n">
        <v>2.35568059</v>
      </c>
      <c r="I36" s="18" t="s">
        <v>349</v>
      </c>
      <c r="J36" s="20" t="s">
        <v>349</v>
      </c>
      <c r="K36" s="18" t="n">
        <v>0.6076931</v>
      </c>
      <c r="L36" s="20" t="n">
        <v>0.41947265</v>
      </c>
      <c r="M36" s="18" t="n">
        <v>0</v>
      </c>
      <c r="N36" s="20" t="n">
        <v>0</v>
      </c>
      <c r="O36" s="18" t="n">
        <v>0</v>
      </c>
      <c r="P36" s="20" t="n">
        <v>0</v>
      </c>
      <c r="Q36" s="18" t="n">
        <v>1.21748517</v>
      </c>
      <c r="R36" s="20" t="n">
        <v>0.61310953</v>
      </c>
    </row>
    <row r="37" spans="1:18">
      <c r="A37" s="15" t="s">
        <v>379</v>
      </c>
      <c r="B37" s="17" t="n">
        <v>2731</v>
      </c>
      <c r="C37" s="18">
        <f>(2401.0/B37*100)</f>
        <v/>
      </c>
      <c r="D37" s="19" t="n">
        <v>330</v>
      </c>
      <c r="E37" s="18" t="n">
        <v>62.89959876</v>
      </c>
      <c r="F37" s="20" t="n">
        <v>3.29151668</v>
      </c>
      <c r="G37" s="18" t="n">
        <v>32.13137951</v>
      </c>
      <c r="H37" s="20" t="n">
        <v>3.15696454</v>
      </c>
      <c r="I37" s="18" t="s">
        <v>349</v>
      </c>
      <c r="J37" s="20" t="s">
        <v>349</v>
      </c>
      <c r="K37" s="18" t="n">
        <v>0.90679038</v>
      </c>
      <c r="L37" s="20" t="n">
        <v>0.51902011</v>
      </c>
      <c r="M37" s="18" t="n">
        <v>0</v>
      </c>
      <c r="N37" s="20" t="n">
        <v>0</v>
      </c>
      <c r="O37" s="18" t="n">
        <v>0</v>
      </c>
      <c r="P37" s="20" t="n">
        <v>0</v>
      </c>
      <c r="Q37" s="18" t="n">
        <v>4.06223135</v>
      </c>
      <c r="R37" s="20" t="n">
        <v>1.25379627</v>
      </c>
    </row>
    <row r="38" spans="1:18">
      <c r="A38" s="15" t="s">
        <v>380</v>
      </c>
      <c r="B38" s="17" t="n">
        <v>2807</v>
      </c>
      <c r="C38" s="18">
        <f>(2327.0/B38*100)</f>
        <v/>
      </c>
      <c r="D38" s="19" t="n">
        <v>480</v>
      </c>
      <c r="E38" s="18" t="n">
        <v>49.01578947</v>
      </c>
      <c r="F38" s="20" t="n">
        <v>2.97345552</v>
      </c>
      <c r="G38" s="18" t="n">
        <v>50.11155536</v>
      </c>
      <c r="H38" s="20" t="n">
        <v>2.96079323</v>
      </c>
      <c r="I38" s="18" t="s">
        <v>349</v>
      </c>
      <c r="J38" s="20" t="s">
        <v>349</v>
      </c>
      <c r="K38" s="18" t="n">
        <v>0.33682319</v>
      </c>
      <c r="L38" s="20" t="n">
        <v>0.23742692</v>
      </c>
      <c r="M38" s="18" t="n">
        <v>0</v>
      </c>
      <c r="N38" s="20" t="n">
        <v>0</v>
      </c>
      <c r="O38" s="18" t="n">
        <v>0</v>
      </c>
      <c r="P38" s="20" t="n">
        <v>0</v>
      </c>
      <c r="Q38" s="18" t="n">
        <v>0.53583199</v>
      </c>
      <c r="R38" s="20" t="n">
        <v>0.32896053</v>
      </c>
    </row>
    <row r="39" spans="1:18">
      <c r="A39" s="15" t="s">
        <v>381</v>
      </c>
      <c r="B39" s="17" t="n">
        <v>2938</v>
      </c>
      <c r="C39" s="18">
        <f>(2577.0/B39*100)</f>
        <v/>
      </c>
      <c r="D39" s="19" t="n">
        <v>361</v>
      </c>
      <c r="E39" s="18" t="n">
        <v>70.36613935</v>
      </c>
      <c r="F39" s="20" t="n">
        <v>3.29280939</v>
      </c>
      <c r="G39" s="18" t="n">
        <v>28.38629798</v>
      </c>
      <c r="H39" s="20" t="n">
        <v>3.35603609</v>
      </c>
      <c r="I39" s="18" t="s">
        <v>349</v>
      </c>
      <c r="J39" s="20" t="s">
        <v>349</v>
      </c>
      <c r="K39" s="18" t="n">
        <v>0</v>
      </c>
      <c r="L39" s="20" t="n">
        <v>0</v>
      </c>
      <c r="M39" s="18" t="n">
        <v>0</v>
      </c>
      <c r="N39" s="20" t="n">
        <v>0</v>
      </c>
      <c r="O39" s="18" t="n">
        <v>0</v>
      </c>
      <c r="P39" s="20" t="n">
        <v>0</v>
      </c>
      <c r="Q39" s="18" t="n">
        <v>1.24756268</v>
      </c>
      <c r="R39" s="20" t="n">
        <v>0.79439453</v>
      </c>
    </row>
    <row r="40" spans="1:18">
      <c r="A40" s="15" t="s">
        <v>382</v>
      </c>
      <c r="B40" s="17" t="n">
        <v>6922</v>
      </c>
      <c r="C40" s="18">
        <f>(6090.0/B40*100)</f>
        <v/>
      </c>
      <c r="D40" s="19" t="n">
        <v>832</v>
      </c>
      <c r="E40" s="18" t="n">
        <v>62.5767412</v>
      </c>
      <c r="F40" s="20" t="n">
        <v>2.35403598</v>
      </c>
      <c r="G40" s="18" t="n">
        <v>35.95279629</v>
      </c>
      <c r="H40" s="20" t="n">
        <v>2.25975444</v>
      </c>
      <c r="I40" s="18" t="s">
        <v>349</v>
      </c>
      <c r="J40" s="20" t="s">
        <v>349</v>
      </c>
      <c r="K40" s="18" t="n">
        <v>0.46339392</v>
      </c>
      <c r="L40" s="20" t="n">
        <v>0.46432914</v>
      </c>
      <c r="M40" s="18" t="n">
        <v>0</v>
      </c>
      <c r="N40" s="20" t="n">
        <v>0</v>
      </c>
      <c r="O40" s="18" t="n">
        <v>0</v>
      </c>
      <c r="P40" s="20" t="n">
        <v>0</v>
      </c>
      <c r="Q40" s="18" t="n">
        <v>1.00706859</v>
      </c>
      <c r="R40" s="20" t="n">
        <v>0.48222528</v>
      </c>
    </row>
    <row r="41" spans="1:18">
      <c r="A41" s="15" t="s">
        <v>383</v>
      </c>
      <c r="B41" s="17" t="n">
        <v>2854</v>
      </c>
      <c r="C41" s="18">
        <f>(2513.0/B41*100)</f>
        <v/>
      </c>
      <c r="D41" s="19" t="n">
        <v>341</v>
      </c>
      <c r="E41" s="18" t="n">
        <v>71.47163454</v>
      </c>
      <c r="F41" s="20" t="n">
        <v>2.68633197</v>
      </c>
      <c r="G41" s="18" t="n">
        <v>27.72551823</v>
      </c>
      <c r="H41" s="20" t="n">
        <v>2.61612148</v>
      </c>
      <c r="I41" s="18" t="s">
        <v>349</v>
      </c>
      <c r="J41" s="20" t="s">
        <v>349</v>
      </c>
      <c r="K41" s="18" t="n">
        <v>0.80284723</v>
      </c>
      <c r="L41" s="20" t="n">
        <v>0.51990752</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(10852.0/B46*100)</f>
        <v/>
      </c>
      <c r="D46" s="19" t="n">
        <v>1221</v>
      </c>
      <c r="E46" s="18" t="n">
        <v>68.71458997000001</v>
      </c>
      <c r="F46" s="20" t="n">
        <v>1.67213751</v>
      </c>
      <c r="G46" s="18" t="n">
        <v>28.03138467</v>
      </c>
      <c r="H46" s="20" t="n">
        <v>1.59249828</v>
      </c>
      <c r="I46" s="18" t="s">
        <v>349</v>
      </c>
      <c r="J46" s="20" t="s">
        <v>349</v>
      </c>
      <c r="K46" s="18" t="n">
        <v>0.8191551500000001</v>
      </c>
      <c r="L46" s="20" t="n">
        <v>0.32884115</v>
      </c>
      <c r="M46" s="18" t="n">
        <v>0</v>
      </c>
      <c r="N46" s="20" t="n">
        <v>0</v>
      </c>
      <c r="O46" s="18" t="n">
        <v>0</v>
      </c>
      <c r="P46" s="20" t="n">
        <v>0</v>
      </c>
      <c r="Q46" s="18" t="n">
        <v>2.43487021</v>
      </c>
      <c r="R46" s="20" t="n">
        <v>0.62542342</v>
      </c>
    </row>
    <row r="47" spans="1:18">
      <c r="A47" s="15" t="s">
        <v>389</v>
      </c>
      <c r="B47" s="17" t="n">
        <v>2823</v>
      </c>
      <c r="C47" s="18">
        <f>(2482.0/B47*100)</f>
        <v/>
      </c>
      <c r="D47" s="19" t="n">
        <v>341</v>
      </c>
      <c r="E47" s="18" t="n">
        <v>79.03603187</v>
      </c>
      <c r="F47" s="20" t="n">
        <v>2.28920522</v>
      </c>
      <c r="G47" s="18" t="n">
        <v>20.12024485</v>
      </c>
      <c r="H47" s="20" t="n">
        <v>2.20834192</v>
      </c>
      <c r="I47" s="18" t="s">
        <v>349</v>
      </c>
      <c r="J47" s="20" t="s">
        <v>349</v>
      </c>
      <c r="K47" s="18" t="n">
        <v>0.55175297</v>
      </c>
      <c r="L47" s="20" t="n">
        <v>0.48042679</v>
      </c>
      <c r="M47" s="18" t="n">
        <v>0</v>
      </c>
      <c r="N47" s="20" t="n">
        <v>0</v>
      </c>
      <c r="O47" s="18" t="n">
        <v>0</v>
      </c>
      <c r="P47" s="20" t="n">
        <v>0</v>
      </c>
      <c r="Q47" s="18" t="n">
        <v>0.29197031</v>
      </c>
      <c r="R47" s="20" t="n">
        <v>0.28734443</v>
      </c>
    </row>
    <row r="48" spans="1:18">
      <c r="A48" s="15" t="s">
        <v>390</v>
      </c>
      <c r="B48" s="17" t="n">
        <v>4682</v>
      </c>
      <c r="C48" s="18">
        <f>(4110.0/B48*100)</f>
        <v/>
      </c>
      <c r="D48" s="19" t="n">
        <v>572</v>
      </c>
      <c r="E48" s="18" t="n">
        <v>58.06463227</v>
      </c>
      <c r="F48" s="20" t="n">
        <v>3.02635508</v>
      </c>
      <c r="G48" s="18" t="n">
        <v>41.62038862</v>
      </c>
      <c r="H48" s="20" t="n">
        <v>2.99572914</v>
      </c>
      <c r="I48" s="18" t="s">
        <v>349</v>
      </c>
      <c r="J48" s="20" t="s">
        <v>349</v>
      </c>
      <c r="K48" s="18" t="n">
        <v>0</v>
      </c>
      <c r="L48" s="20" t="n">
        <v>0</v>
      </c>
      <c r="M48" s="18" t="n">
        <v>0</v>
      </c>
      <c r="N48" s="20" t="n">
        <v>0</v>
      </c>
      <c r="O48" s="18" t="n">
        <v>0</v>
      </c>
      <c r="P48" s="20" t="n">
        <v>0</v>
      </c>
      <c r="Q48" s="18" t="n">
        <v>0.31497912</v>
      </c>
      <c r="R48" s="20" t="n">
        <v>0.2228119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(5414.0/B50*100)</f>
        <v/>
      </c>
      <c r="D50" s="19" t="n">
        <v>744</v>
      </c>
      <c r="E50" s="18" t="n">
        <v>77.52716691000001</v>
      </c>
      <c r="F50" s="20" t="n">
        <v>1.93634004</v>
      </c>
      <c r="G50" s="18" t="n">
        <v>21.24799042</v>
      </c>
      <c r="H50" s="20" t="n">
        <v>1.83343057</v>
      </c>
      <c r="I50" s="18" t="s">
        <v>349</v>
      </c>
      <c r="J50" s="20" t="s">
        <v>349</v>
      </c>
      <c r="K50" s="18" t="n">
        <v>0.39717162</v>
      </c>
      <c r="L50" s="20" t="n">
        <v>0.21996499</v>
      </c>
      <c r="M50" s="18" t="n">
        <v>0</v>
      </c>
      <c r="N50" s="20" t="n">
        <v>0</v>
      </c>
      <c r="O50" s="18" t="n">
        <v>0</v>
      </c>
      <c r="P50" s="20" t="n">
        <v>0</v>
      </c>
      <c r="Q50" s="18" t="n">
        <v>0.82767106</v>
      </c>
      <c r="R50" s="20" t="n">
        <v>0.44420636</v>
      </c>
    </row>
    <row r="51" spans="1:18">
      <c r="A51" s="15" t="s">
        <v>393</v>
      </c>
      <c r="B51" s="17" t="n">
        <v>3494</v>
      </c>
      <c r="C51" s="18">
        <f>(3105.0/B51*100)</f>
        <v/>
      </c>
      <c r="D51" s="19" t="n">
        <v>389</v>
      </c>
      <c r="E51" s="18" t="n">
        <v>81.39476848</v>
      </c>
      <c r="F51" s="20" t="n">
        <v>2.2652814</v>
      </c>
      <c r="G51" s="18" t="n">
        <v>16.62586376</v>
      </c>
      <c r="H51" s="20" t="n">
        <v>2.13367106</v>
      </c>
      <c r="I51" s="18" t="s">
        <v>349</v>
      </c>
      <c r="J51" s="20" t="s">
        <v>349</v>
      </c>
      <c r="K51" s="18" t="n">
        <v>0.45882168</v>
      </c>
      <c r="L51" s="20" t="n">
        <v>0.3048475</v>
      </c>
      <c r="M51" s="18" t="n">
        <v>0</v>
      </c>
      <c r="N51" s="20" t="n">
        <v>0</v>
      </c>
      <c r="O51" s="18" t="n">
        <v>0</v>
      </c>
      <c r="P51" s="20" t="n">
        <v>0</v>
      </c>
      <c r="Q51" s="18" t="n">
        <v>1.52054607</v>
      </c>
      <c r="R51" s="20" t="n">
        <v>0.58228219</v>
      </c>
    </row>
    <row r="52" spans="1:18">
      <c r="A52" s="15" t="s">
        <v>394</v>
      </c>
      <c r="B52" s="17" t="n">
        <v>3013</v>
      </c>
      <c r="C52" s="18">
        <f>(2637.0/B52*100)</f>
        <v/>
      </c>
      <c r="D52" s="19" t="n">
        <v>376</v>
      </c>
      <c r="E52" s="18" t="n">
        <v>55.06741159</v>
      </c>
      <c r="F52" s="20" t="n">
        <v>2.71995391</v>
      </c>
      <c r="G52" s="18" t="n">
        <v>42.02210446</v>
      </c>
      <c r="H52" s="20" t="n">
        <v>2.52463077</v>
      </c>
      <c r="I52" s="18" t="s">
        <v>349</v>
      </c>
      <c r="J52" s="20" t="s">
        <v>349</v>
      </c>
      <c r="K52" s="18" t="n">
        <v>0</v>
      </c>
      <c r="L52" s="20" t="n">
        <v>0</v>
      </c>
      <c r="M52" s="18" t="n">
        <v>0</v>
      </c>
      <c r="N52" s="20" t="n">
        <v>0</v>
      </c>
      <c r="O52" s="18" t="n">
        <v>0</v>
      </c>
      <c r="P52" s="20" t="n">
        <v>0</v>
      </c>
      <c r="Q52" s="18" t="n">
        <v>2.91048394</v>
      </c>
      <c r="R52" s="20" t="n">
        <v>0.8124211</v>
      </c>
    </row>
    <row r="53" spans="1:18">
      <c r="A53" s="15" t="s">
        <v>395</v>
      </c>
      <c r="B53" s="17" t="n">
        <v>2760</v>
      </c>
      <c r="C53" s="18">
        <f>(2411.0/B53*100)</f>
        <v/>
      </c>
      <c r="D53" s="19" t="n">
        <v>349</v>
      </c>
      <c r="E53" s="18" t="n">
        <v>77.3493089</v>
      </c>
      <c r="F53" s="20" t="n">
        <v>2.5258635</v>
      </c>
      <c r="G53" s="18" t="n">
        <v>21.55916685</v>
      </c>
      <c r="H53" s="20" t="n">
        <v>2.32112139</v>
      </c>
      <c r="I53" s="18" t="s">
        <v>349</v>
      </c>
      <c r="J53" s="20" t="s">
        <v>349</v>
      </c>
      <c r="K53" s="18" t="n">
        <v>0.40698438</v>
      </c>
      <c r="L53" s="20" t="n">
        <v>0.2779854</v>
      </c>
      <c r="M53" s="18" t="n">
        <v>0</v>
      </c>
      <c r="N53" s="20" t="n">
        <v>0</v>
      </c>
      <c r="O53" s="18" t="n">
        <v>0</v>
      </c>
      <c r="P53" s="20" t="n">
        <v>0</v>
      </c>
      <c r="Q53" s="18" t="n">
        <v>0.6845398700000001</v>
      </c>
      <c r="R53" s="20" t="n">
        <v>0.54552893</v>
      </c>
    </row>
    <row r="54" spans="1:18">
      <c r="A54" s="15" t="s">
        <v>396</v>
      </c>
      <c r="B54" s="17" t="n">
        <v>2474</v>
      </c>
      <c r="C54" s="18">
        <f>(2083.0/B54*100)</f>
        <v/>
      </c>
      <c r="D54" s="19" t="n">
        <v>391</v>
      </c>
      <c r="E54" s="18" t="n">
        <v>76.09288418</v>
      </c>
      <c r="F54" s="20" t="n">
        <v>2.7760558</v>
      </c>
      <c r="G54" s="18" t="n">
        <v>10.45875379</v>
      </c>
      <c r="H54" s="20" t="n">
        <v>1.84853994</v>
      </c>
      <c r="I54" s="18" t="s">
        <v>349</v>
      </c>
      <c r="J54" s="20" t="s">
        <v>349</v>
      </c>
      <c r="K54" s="18" t="n">
        <v>11.39941285</v>
      </c>
      <c r="L54" s="20" t="n">
        <v>1.98970355</v>
      </c>
      <c r="M54" s="18" t="n">
        <v>0</v>
      </c>
      <c r="N54" s="20" t="n">
        <v>0</v>
      </c>
      <c r="O54" s="18" t="n">
        <v>0</v>
      </c>
      <c r="P54" s="20" t="n">
        <v>0</v>
      </c>
      <c r="Q54" s="18" t="n">
        <v>2.04894919</v>
      </c>
      <c r="R54" s="20" t="n">
        <v>0.59348311</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(2333.0/B56*100)</f>
        <v/>
      </c>
      <c r="D56" s="19" t="n">
        <v>342</v>
      </c>
      <c r="E56" s="18" t="n">
        <v>54.59512151</v>
      </c>
      <c r="F56" s="20" t="n">
        <v>3.18457539</v>
      </c>
      <c r="G56" s="18" t="n">
        <v>44.62205832</v>
      </c>
      <c r="H56" s="20" t="n">
        <v>3.1549607</v>
      </c>
      <c r="I56" s="18" t="s">
        <v>349</v>
      </c>
      <c r="J56" s="20" t="s">
        <v>349</v>
      </c>
      <c r="K56" s="18" t="n">
        <v>0.26719706</v>
      </c>
      <c r="L56" s="20" t="n">
        <v>0.29696224</v>
      </c>
      <c r="M56" s="18" t="n">
        <v>0</v>
      </c>
      <c r="N56" s="20" t="n">
        <v>0</v>
      </c>
      <c r="O56" s="18" t="n">
        <v>0</v>
      </c>
      <c r="P56" s="20" t="n">
        <v>0</v>
      </c>
      <c r="Q56" s="18" t="n">
        <v>0.5156231100000001</v>
      </c>
      <c r="R56" s="20" t="n">
        <v>0.36607597</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(2815.0/B61*100)</f>
        <v/>
      </c>
      <c r="D61" s="19" t="n">
        <v>386</v>
      </c>
      <c r="E61" s="18" t="n">
        <v>66.8356735</v>
      </c>
      <c r="F61" s="20" t="n">
        <v>2.63805767</v>
      </c>
      <c r="G61" s="18" t="n">
        <v>33.1643265</v>
      </c>
      <c r="H61" s="20" t="n">
        <v>2.63805767</v>
      </c>
      <c r="I61" s="18" t="s">
        <v>349</v>
      </c>
      <c r="J61" s="20" t="s">
        <v>349</v>
      </c>
      <c r="K61" s="18" t="n">
        <v>0</v>
      </c>
      <c r="L61" s="20" t="n">
        <v>0</v>
      </c>
      <c r="M61" s="18" t="n">
        <v>0</v>
      </c>
      <c r="N61" s="20" t="n">
        <v>0</v>
      </c>
      <c r="O61" s="18" t="n">
        <v>0</v>
      </c>
      <c r="P61" s="20" t="n">
        <v>0</v>
      </c>
      <c r="Q61" s="18" t="n">
        <v>0</v>
      </c>
      <c r="R61" s="20" t="n">
        <v>0</v>
      </c>
    </row>
    <row r="62" spans="1:18">
      <c r="A62" s="15" t="s">
        <v>404</v>
      </c>
      <c r="B62" s="17" t="n">
        <v>2230</v>
      </c>
      <c r="C62" s="18">
        <f>(1945.0/B62*100)</f>
        <v/>
      </c>
      <c r="D62" s="19" t="n">
        <v>285</v>
      </c>
      <c r="E62" s="18" t="n">
        <v>54.40476328</v>
      </c>
      <c r="F62" s="20" t="n">
        <v>3.15847895</v>
      </c>
      <c r="G62" s="18" t="n">
        <v>45.59523672</v>
      </c>
      <c r="H62" s="20" t="n">
        <v>3.15847895</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(2422.0/B66*100)</f>
        <v/>
      </c>
      <c r="D66" s="19" t="n">
        <v>349</v>
      </c>
      <c r="E66" s="18" t="n">
        <v>68.55171088</v>
      </c>
      <c r="F66" s="20" t="n">
        <v>2.57903959</v>
      </c>
      <c r="G66" s="18" t="n">
        <v>26.97139532</v>
      </c>
      <c r="H66" s="20" t="n">
        <v>2.46476716</v>
      </c>
      <c r="I66" s="18" t="s">
        <v>349</v>
      </c>
      <c r="J66" s="20" t="s">
        <v>349</v>
      </c>
      <c r="K66" s="18" t="n">
        <v>0.24821674</v>
      </c>
      <c r="L66" s="20" t="n">
        <v>0.24905998</v>
      </c>
      <c r="M66" s="18" t="n">
        <v>0</v>
      </c>
      <c r="N66" s="20" t="n">
        <v>0</v>
      </c>
      <c r="O66" s="18" t="n">
        <v>0</v>
      </c>
      <c r="P66" s="20" t="n">
        <v>0</v>
      </c>
      <c r="Q66" s="18" t="n">
        <v>4.22867706</v>
      </c>
      <c r="R66" s="20" t="n">
        <v>1.09629445</v>
      </c>
    </row>
    <row r="67" spans="1:18">
      <c r="A67" s="15" t="s">
        <v>409</v>
      </c>
      <c r="B67" s="17" t="n">
        <v>3460</v>
      </c>
      <c r="C67" s="18">
        <f>(3073.0/B67*100)</f>
        <v/>
      </c>
      <c r="D67" s="19" t="n">
        <v>387</v>
      </c>
      <c r="E67" s="18" t="n">
        <v>76.08304636</v>
      </c>
      <c r="F67" s="20" t="n">
        <v>2.06795523</v>
      </c>
      <c r="G67" s="18" t="n">
        <v>21.62773265</v>
      </c>
      <c r="H67" s="20" t="n">
        <v>2.00767586</v>
      </c>
      <c r="I67" s="18" t="s">
        <v>349</v>
      </c>
      <c r="J67" s="20" t="s">
        <v>349</v>
      </c>
      <c r="K67" s="18" t="n">
        <v>0.20492827</v>
      </c>
      <c r="L67" s="20" t="n">
        <v>0.21051568</v>
      </c>
      <c r="M67" s="18" t="n">
        <v>0</v>
      </c>
      <c r="N67" s="20" t="n">
        <v>0</v>
      </c>
      <c r="O67" s="18" t="n">
        <v>0</v>
      </c>
      <c r="P67" s="20" t="n">
        <v>0</v>
      </c>
      <c r="Q67" s="18" t="n">
        <v>2.08429272</v>
      </c>
      <c r="R67" s="20" t="n">
        <v>0.65206609</v>
      </c>
    </row>
    <row r="68" spans="1:18">
      <c r="A68" s="15" t="s">
        <v>410</v>
      </c>
      <c r="B68" s="17" t="n">
        <v>6034</v>
      </c>
      <c r="C68" s="18">
        <f>(5026.0/B68*100)</f>
        <v/>
      </c>
      <c r="D68" s="19" t="n">
        <v>1008</v>
      </c>
      <c r="E68" s="18" t="n">
        <v>68.99358535</v>
      </c>
      <c r="F68" s="20" t="n">
        <v>1.25731858</v>
      </c>
      <c r="G68" s="18" t="n">
        <v>26.62424143</v>
      </c>
      <c r="H68" s="20" t="n">
        <v>1.18145616</v>
      </c>
      <c r="I68" s="18" t="s">
        <v>349</v>
      </c>
      <c r="J68" s="20" t="s">
        <v>349</v>
      </c>
      <c r="K68" s="18" t="n">
        <v>2.26035975</v>
      </c>
      <c r="L68" s="20" t="n">
        <v>0.47265056</v>
      </c>
      <c r="M68" s="18" t="n">
        <v>0</v>
      </c>
      <c r="N68" s="20" t="n">
        <v>0</v>
      </c>
      <c r="O68" s="18" t="n">
        <v>0</v>
      </c>
      <c r="P68" s="20" t="n">
        <v>0</v>
      </c>
      <c r="Q68" s="18" t="n">
        <v>2.12181347</v>
      </c>
      <c r="R68" s="20" t="n">
        <v>0.48548704</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(2725.0/B70*100)</f>
        <v/>
      </c>
      <c r="D70" s="19" t="n">
        <v>382</v>
      </c>
      <c r="E70" s="18" t="n">
        <v>66.53291923</v>
      </c>
      <c r="F70" s="20" t="n">
        <v>2.5315648</v>
      </c>
      <c r="G70" s="18" t="n">
        <v>32.61512931</v>
      </c>
      <c r="H70" s="20" t="n">
        <v>2.5426022</v>
      </c>
      <c r="I70" s="18" t="s">
        <v>349</v>
      </c>
      <c r="J70" s="20" t="s">
        <v>349</v>
      </c>
      <c r="K70" s="18" t="n">
        <v>0.23761227</v>
      </c>
      <c r="L70" s="20" t="n">
        <v>0.235296</v>
      </c>
      <c r="M70" s="18" t="n">
        <v>0</v>
      </c>
      <c r="N70" s="20" t="n">
        <v>0</v>
      </c>
      <c r="O70" s="18" t="n">
        <v>0</v>
      </c>
      <c r="P70" s="20" t="n">
        <v>0</v>
      </c>
      <c r="Q70" s="18" t="n">
        <v>0.61433918</v>
      </c>
      <c r="R70" s="20" t="n">
        <v>0.35220851</v>
      </c>
    </row>
    <row r="71" spans="1:18">
      <c r="A71" s="15" t="s">
        <v>413</v>
      </c>
      <c r="B71" s="17" t="n">
        <v>2973</v>
      </c>
      <c r="C71" s="18">
        <f>(2627.0/B71*100)</f>
        <v/>
      </c>
      <c r="D71" s="19" t="n">
        <v>346</v>
      </c>
      <c r="E71" s="18" t="n">
        <v>49.66486972</v>
      </c>
      <c r="F71" s="20" t="n">
        <v>2.80688948</v>
      </c>
      <c r="G71" s="18" t="n">
        <v>50.01288605</v>
      </c>
      <c r="H71" s="20" t="n">
        <v>2.76722553</v>
      </c>
      <c r="I71" s="18" t="s">
        <v>349</v>
      </c>
      <c r="J71" s="20" t="s">
        <v>349</v>
      </c>
      <c r="K71" s="18" t="n">
        <v>0</v>
      </c>
      <c r="L71" s="20" t="n">
        <v>0</v>
      </c>
      <c r="M71" s="18" t="n">
        <v>0</v>
      </c>
      <c r="N71" s="20" t="n">
        <v>0</v>
      </c>
      <c r="O71" s="18" t="n">
        <v>0</v>
      </c>
      <c r="P71" s="20" t="n">
        <v>0</v>
      </c>
      <c r="Q71" s="18" t="n">
        <v>0.32224422</v>
      </c>
      <c r="R71" s="20" t="n">
        <v>0.32160191</v>
      </c>
    </row>
    <row r="72" spans="1:18">
      <c r="A72" s="15" t="s">
        <v>414</v>
      </c>
      <c r="B72" s="17" t="n">
        <v>3819</v>
      </c>
      <c r="C72" s="18">
        <f>(3365.0/B72*100)</f>
        <v/>
      </c>
      <c r="D72" s="19" t="n">
        <v>454</v>
      </c>
      <c r="E72" s="18" t="n">
        <v>52.36474376</v>
      </c>
      <c r="F72" s="20" t="n">
        <v>2.8064397</v>
      </c>
      <c r="G72" s="18" t="n">
        <v>47.20555104</v>
      </c>
      <c r="H72" s="20" t="n">
        <v>2.8145077</v>
      </c>
      <c r="I72" s="18" t="s">
        <v>349</v>
      </c>
      <c r="J72" s="20" t="s">
        <v>349</v>
      </c>
      <c r="K72" s="18" t="n">
        <v>0.29083467</v>
      </c>
      <c r="L72" s="20" t="n">
        <v>0.28984997</v>
      </c>
      <c r="M72" s="18" t="n">
        <v>0</v>
      </c>
      <c r="N72" s="20" t="n">
        <v>0</v>
      </c>
      <c r="O72" s="18" t="n">
        <v>0</v>
      </c>
      <c r="P72" s="20" t="n">
        <v>0</v>
      </c>
      <c r="Q72" s="18" t="n">
        <v>0.13887053</v>
      </c>
      <c r="R72" s="20" t="n">
        <v>0.09861965</v>
      </c>
    </row>
    <row r="73" spans="1:18">
      <c r="A73" s="15" t="s">
        <v>415</v>
      </c>
      <c r="B73" s="17" t="n">
        <v>4652</v>
      </c>
      <c r="C73" s="18">
        <f>(4085.0/B73*100)</f>
        <v/>
      </c>
      <c r="D73" s="19" t="n">
        <v>567</v>
      </c>
      <c r="E73" s="18" t="n">
        <v>86.04196695</v>
      </c>
      <c r="F73" s="20" t="n">
        <v>1.81718928</v>
      </c>
      <c r="G73" s="18" t="n">
        <v>13.88710363</v>
      </c>
      <c r="H73" s="20" t="n">
        <v>1.81968467</v>
      </c>
      <c r="I73" s="18" t="s">
        <v>349</v>
      </c>
      <c r="J73" s="20" t="s">
        <v>349</v>
      </c>
      <c r="K73" s="18" t="n">
        <v>0.06356302</v>
      </c>
      <c r="L73" s="20" t="n">
        <v>0.06696096999999999</v>
      </c>
      <c r="M73" s="18" t="n">
        <v>0</v>
      </c>
      <c r="N73" s="20" t="n">
        <v>0</v>
      </c>
      <c r="O73" s="18" t="n">
        <v>0</v>
      </c>
      <c r="P73" s="20" t="n">
        <v>0</v>
      </c>
      <c r="Q73" s="18" t="n">
        <v>0.0073664</v>
      </c>
      <c r="R73" s="20" t="n">
        <v>0.00739066</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(2648.0/B75*100)</f>
        <v/>
      </c>
      <c r="D75" s="19" t="n">
        <v>321</v>
      </c>
      <c r="E75" s="18" t="n">
        <v>74.54488496</v>
      </c>
      <c r="F75" s="20" t="n">
        <v>2.72346369</v>
      </c>
      <c r="G75" s="18" t="n">
        <v>21.32170849</v>
      </c>
      <c r="H75" s="20" t="n">
        <v>2.36620203</v>
      </c>
      <c r="I75" s="18" t="s">
        <v>349</v>
      </c>
      <c r="J75" s="20" t="s">
        <v>349</v>
      </c>
      <c r="K75" s="18" t="n">
        <v>1.98160438</v>
      </c>
      <c r="L75" s="20" t="n">
        <v>0.86660792</v>
      </c>
      <c r="M75" s="18" t="n">
        <v>0</v>
      </c>
      <c r="N75" s="20" t="n">
        <v>0</v>
      </c>
      <c r="O75" s="18" t="n">
        <v>0</v>
      </c>
      <c r="P75" s="20" t="n">
        <v>0</v>
      </c>
      <c r="Q75" s="18" t="n">
        <v>2.15180217</v>
      </c>
      <c r="R75" s="20" t="n">
        <v>1.11602235</v>
      </c>
    </row>
    <row r="76" spans="1:18">
      <c r="A76" s="15" t="s">
        <v>418</v>
      </c>
      <c r="B76" s="17" t="n">
        <v>7115</v>
      </c>
      <c r="C76" s="18">
        <f>(6258.0/B76*100)</f>
        <v/>
      </c>
      <c r="D76" s="19" t="n">
        <v>857</v>
      </c>
      <c r="E76" s="18" t="n">
        <v>67.37430878000001</v>
      </c>
      <c r="F76" s="20" t="n">
        <v>1.78778985</v>
      </c>
      <c r="G76" s="18" t="n">
        <v>31.65940863</v>
      </c>
      <c r="H76" s="20" t="n">
        <v>1.74047957</v>
      </c>
      <c r="I76" s="18" t="s">
        <v>349</v>
      </c>
      <c r="J76" s="20" t="s">
        <v>349</v>
      </c>
      <c r="K76" s="18" t="n">
        <v>0.59065162</v>
      </c>
      <c r="L76" s="20" t="n">
        <v>0.2942372</v>
      </c>
      <c r="M76" s="18" t="n">
        <v>0</v>
      </c>
      <c r="N76" s="20" t="n">
        <v>0</v>
      </c>
      <c r="O76" s="18" t="n">
        <v>0</v>
      </c>
      <c r="P76" s="20" t="n">
        <v>0</v>
      </c>
      <c r="Q76" s="18" t="n">
        <v>0.37563097</v>
      </c>
      <c r="R76" s="20" t="n">
        <v>0.17759696</v>
      </c>
    </row>
    <row r="77" spans="1:18">
      <c r="A77" s="15" t="s">
        <v>419</v>
      </c>
      <c r="B77" s="17" t="n">
        <v>3154</v>
      </c>
      <c r="C77" s="18">
        <f>(2801.0/B77*100)</f>
        <v/>
      </c>
      <c r="D77" s="19" t="n">
        <v>353</v>
      </c>
      <c r="E77" s="18" t="n">
        <v>77.15274465</v>
      </c>
      <c r="F77" s="20" t="n">
        <v>2.37221056</v>
      </c>
      <c r="G77" s="18" t="n">
        <v>18.62677679</v>
      </c>
      <c r="H77" s="20" t="n">
        <v>2.31653462</v>
      </c>
      <c r="I77" s="18" t="s">
        <v>349</v>
      </c>
      <c r="J77" s="20" t="s">
        <v>349</v>
      </c>
      <c r="K77" s="18" t="n">
        <v>0.8515919199999999</v>
      </c>
      <c r="L77" s="20" t="n">
        <v>0.42475522</v>
      </c>
      <c r="M77" s="18" t="n">
        <v>0</v>
      </c>
      <c r="N77" s="20" t="n">
        <v>0</v>
      </c>
      <c r="O77" s="18" t="n">
        <v>0</v>
      </c>
      <c r="P77" s="20" t="n">
        <v>0</v>
      </c>
      <c r="Q77" s="18" t="n">
        <v>3.36888664</v>
      </c>
      <c r="R77" s="20" t="n">
        <v>0.92718766</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(4124.0/B81*100)</f>
        <v/>
      </c>
      <c r="D81" s="19" t="n">
        <v>574</v>
      </c>
      <c r="E81" s="18" t="n">
        <v>81.54153186000001</v>
      </c>
      <c r="F81" s="20" t="n">
        <v>1.85350258</v>
      </c>
      <c r="G81" s="18" t="n">
        <v>18.22178359</v>
      </c>
      <c r="H81" s="20" t="n">
        <v>1.79125405</v>
      </c>
      <c r="I81" s="18" t="s">
        <v>349</v>
      </c>
      <c r="J81" s="20" t="s">
        <v>349</v>
      </c>
      <c r="K81" s="18" t="n">
        <v>0.23668455</v>
      </c>
      <c r="L81" s="20" t="n">
        <v>0.23504557</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(6356.0/B7*100)</f>
        <v/>
      </c>
      <c r="D7" s="19" t="n">
        <v>807</v>
      </c>
      <c r="E7" s="18" t="n">
        <v>57.63089116</v>
      </c>
      <c r="F7" s="20" t="n">
        <v>2.172906</v>
      </c>
      <c r="G7" s="18" t="n">
        <v>39.05208136</v>
      </c>
      <c r="H7" s="20" t="n">
        <v>2.25900721</v>
      </c>
      <c r="I7" s="18" t="s">
        <v>349</v>
      </c>
      <c r="J7" s="20" t="s">
        <v>349</v>
      </c>
      <c r="K7" s="18" t="n">
        <v>1.10988024</v>
      </c>
      <c r="L7" s="20" t="n">
        <v>0.41596979</v>
      </c>
      <c r="M7" s="18" t="n">
        <v>0</v>
      </c>
      <c r="N7" s="20" t="n">
        <v>0</v>
      </c>
      <c r="O7" s="18" t="n">
        <v>0</v>
      </c>
      <c r="P7" s="20" t="n">
        <v>0</v>
      </c>
      <c r="Q7" s="18" t="n">
        <v>2.20714724</v>
      </c>
      <c r="R7" s="20" t="n">
        <v>0.5555456600000001</v>
      </c>
    </row>
    <row r="8" spans="1:18">
      <c r="A8" s="15" t="s">
        <v>350</v>
      </c>
      <c r="B8" s="17" t="n">
        <v>3443</v>
      </c>
      <c r="C8" s="18">
        <f>(3046.0/B8*100)</f>
        <v/>
      </c>
      <c r="D8" s="19" t="n">
        <v>397</v>
      </c>
      <c r="E8" s="18" t="n">
        <v>49.81251004</v>
      </c>
      <c r="F8" s="20" t="n">
        <v>2.56801049</v>
      </c>
      <c r="G8" s="18" t="n">
        <v>46.03335863</v>
      </c>
      <c r="H8" s="20" t="n">
        <v>2.69366646</v>
      </c>
      <c r="I8" s="18" t="s">
        <v>349</v>
      </c>
      <c r="J8" s="20" t="s">
        <v>349</v>
      </c>
      <c r="K8" s="18" t="n">
        <v>0</v>
      </c>
      <c r="L8" s="20" t="n">
        <v>0</v>
      </c>
      <c r="M8" s="18" t="n">
        <v>0</v>
      </c>
      <c r="N8" s="20" t="n">
        <v>0</v>
      </c>
      <c r="O8" s="18" t="n">
        <v>0</v>
      </c>
      <c r="P8" s="20" t="n">
        <v>0</v>
      </c>
      <c r="Q8" s="18" t="n">
        <v>4.15413133</v>
      </c>
      <c r="R8" s="20" t="n">
        <v>1.14183001</v>
      </c>
    </row>
    <row r="9" spans="1:18">
      <c r="A9" s="15" t="s">
        <v>351</v>
      </c>
      <c r="B9" s="17" t="n">
        <v>4752</v>
      </c>
      <c r="C9" s="18">
        <f>(4216.0/B9*100)</f>
        <v/>
      </c>
      <c r="D9" s="19" t="n">
        <v>536</v>
      </c>
      <c r="E9" s="18" t="n">
        <v>48.28714163</v>
      </c>
      <c r="F9" s="20" t="n">
        <v>2.54405355</v>
      </c>
      <c r="G9" s="18" t="n">
        <v>46.63810664</v>
      </c>
      <c r="H9" s="20" t="n">
        <v>2.48068578</v>
      </c>
      <c r="I9" s="18" t="s">
        <v>349</v>
      </c>
      <c r="J9" s="20" t="s">
        <v>349</v>
      </c>
      <c r="K9" s="18" t="n">
        <v>0.28905598</v>
      </c>
      <c r="L9" s="20" t="n">
        <v>0.21093158</v>
      </c>
      <c r="M9" s="18" t="n">
        <v>0</v>
      </c>
      <c r="N9" s="20" t="n">
        <v>0</v>
      </c>
      <c r="O9" s="18" t="n">
        <v>0</v>
      </c>
      <c r="P9" s="20" t="n">
        <v>0</v>
      </c>
      <c r="Q9" s="18" t="n">
        <v>4.78569574</v>
      </c>
      <c r="R9" s="20" t="n">
        <v>0.84312389</v>
      </c>
    </row>
    <row r="10" spans="1:18">
      <c r="A10" s="15" t="s">
        <v>352</v>
      </c>
      <c r="B10" s="17" t="n">
        <v>10022</v>
      </c>
      <c r="C10" s="18">
        <f>(8818.0/B10*100)</f>
        <v/>
      </c>
      <c r="D10" s="19" t="n">
        <v>1204</v>
      </c>
      <c r="E10" s="18" t="n">
        <v>53.62929123</v>
      </c>
      <c r="F10" s="20" t="n">
        <v>1.87494366</v>
      </c>
      <c r="G10" s="18" t="n">
        <v>44.4591327</v>
      </c>
      <c r="H10" s="20" t="n">
        <v>1.96497115</v>
      </c>
      <c r="I10" s="18" t="s">
        <v>349</v>
      </c>
      <c r="J10" s="20" t="s">
        <v>349</v>
      </c>
      <c r="K10" s="18" t="n">
        <v>0.55287043</v>
      </c>
      <c r="L10" s="20" t="n">
        <v>0.33900177</v>
      </c>
      <c r="M10" s="18" t="n">
        <v>0</v>
      </c>
      <c r="N10" s="20" t="n">
        <v>0</v>
      </c>
      <c r="O10" s="18" t="n">
        <v>0</v>
      </c>
      <c r="P10" s="20" t="n">
        <v>0</v>
      </c>
      <c r="Q10" s="18" t="n">
        <v>1.35870564</v>
      </c>
      <c r="R10" s="20" t="n">
        <v>0.35074219</v>
      </c>
    </row>
    <row r="11" spans="1:18">
      <c r="A11" s="15" t="s">
        <v>353</v>
      </c>
      <c r="B11" s="17" t="n">
        <v>3500</v>
      </c>
      <c r="C11" s="18">
        <f>(3092.0/B11*100)</f>
        <v/>
      </c>
      <c r="D11" s="19" t="n">
        <v>408</v>
      </c>
      <c r="E11" s="18" t="n">
        <v>70.10718443</v>
      </c>
      <c r="F11" s="20" t="n">
        <v>2.29586044</v>
      </c>
      <c r="G11" s="18" t="n">
        <v>25.27244489</v>
      </c>
      <c r="H11" s="20" t="n">
        <v>2.27465797</v>
      </c>
      <c r="I11" s="18" t="s">
        <v>349</v>
      </c>
      <c r="J11" s="20" t="s">
        <v>349</v>
      </c>
      <c r="K11" s="18" t="n">
        <v>0.83431467</v>
      </c>
      <c r="L11" s="20" t="n">
        <v>0.44827542</v>
      </c>
      <c r="M11" s="18" t="n">
        <v>0</v>
      </c>
      <c r="N11" s="20" t="n">
        <v>0</v>
      </c>
      <c r="O11" s="18" t="n">
        <v>0</v>
      </c>
      <c r="P11" s="20" t="n">
        <v>0</v>
      </c>
      <c r="Q11" s="18" t="n">
        <v>3.78605601</v>
      </c>
      <c r="R11" s="20" t="n">
        <v>1.1147566</v>
      </c>
    </row>
    <row r="12" spans="1:18">
      <c r="A12" s="15" t="s">
        <v>354</v>
      </c>
      <c r="B12" s="17" t="n">
        <v>3422</v>
      </c>
      <c r="C12" s="18">
        <f>(2991.0/B12*100)</f>
        <v/>
      </c>
      <c r="D12" s="19" t="n">
        <v>431</v>
      </c>
      <c r="E12" s="18" t="n">
        <v>51.06868301</v>
      </c>
      <c r="F12" s="20" t="n">
        <v>3.09781285</v>
      </c>
      <c r="G12" s="18" t="n">
        <v>45.10044245</v>
      </c>
      <c r="H12" s="20" t="n">
        <v>3.14968471</v>
      </c>
      <c r="I12" s="18" t="s">
        <v>349</v>
      </c>
      <c r="J12" s="20" t="s">
        <v>349</v>
      </c>
      <c r="K12" s="18" t="n">
        <v>0</v>
      </c>
      <c r="L12" s="20" t="n">
        <v>0</v>
      </c>
      <c r="M12" s="18" t="n">
        <v>0</v>
      </c>
      <c r="N12" s="20" t="n">
        <v>0</v>
      </c>
      <c r="O12" s="18" t="n">
        <v>0</v>
      </c>
      <c r="P12" s="20" t="n">
        <v>0</v>
      </c>
      <c r="Q12" s="18" t="n">
        <v>3.83087454</v>
      </c>
      <c r="R12" s="20" t="n">
        <v>0.96523436</v>
      </c>
    </row>
    <row r="13" spans="1:18">
      <c r="A13" s="15" t="s">
        <v>355</v>
      </c>
      <c r="B13" s="17" t="n">
        <v>3602</v>
      </c>
      <c r="C13" s="18">
        <f>(3182.0/B13*100)</f>
        <v/>
      </c>
      <c r="D13" s="19" t="n">
        <v>420</v>
      </c>
      <c r="E13" s="18" t="n">
        <v>52.1043109</v>
      </c>
      <c r="F13" s="20" t="n">
        <v>3.20685385</v>
      </c>
      <c r="G13" s="18" t="n">
        <v>42.67543299</v>
      </c>
      <c r="H13" s="20" t="n">
        <v>3.25019856</v>
      </c>
      <c r="I13" s="18" t="s">
        <v>349</v>
      </c>
      <c r="J13" s="20" t="s">
        <v>349</v>
      </c>
      <c r="K13" s="18" t="n">
        <v>0.9889745</v>
      </c>
      <c r="L13" s="20" t="n">
        <v>0.64357924</v>
      </c>
      <c r="M13" s="18" t="n">
        <v>0</v>
      </c>
      <c r="N13" s="20" t="n">
        <v>0</v>
      </c>
      <c r="O13" s="18" t="n">
        <v>0</v>
      </c>
      <c r="P13" s="20" t="n">
        <v>0</v>
      </c>
      <c r="Q13" s="18" t="n">
        <v>4.23128161</v>
      </c>
      <c r="R13" s="20" t="n">
        <v>1.12067872</v>
      </c>
    </row>
    <row r="14" spans="1:18">
      <c r="A14" s="15" t="s">
        <v>356</v>
      </c>
      <c r="B14" s="17" t="n">
        <v>2788</v>
      </c>
      <c r="C14" s="18">
        <f>(2444.0/B14*100)</f>
        <v/>
      </c>
      <c r="D14" s="19" t="n">
        <v>344</v>
      </c>
      <c r="E14" s="18" t="n">
        <v>51.33929934</v>
      </c>
      <c r="F14" s="20" t="n">
        <v>2.61823037</v>
      </c>
      <c r="G14" s="18" t="n">
        <v>46.67292605</v>
      </c>
      <c r="H14" s="20" t="n">
        <v>2.67129788</v>
      </c>
      <c r="I14" s="18" t="s">
        <v>349</v>
      </c>
      <c r="J14" s="20" t="s">
        <v>349</v>
      </c>
      <c r="K14" s="18" t="n">
        <v>0.70876615</v>
      </c>
      <c r="L14" s="20" t="n">
        <v>0.40136386</v>
      </c>
      <c r="M14" s="18" t="n">
        <v>0</v>
      </c>
      <c r="N14" s="20" t="n">
        <v>0</v>
      </c>
      <c r="O14" s="18" t="n">
        <v>0</v>
      </c>
      <c r="P14" s="20" t="n">
        <v>0</v>
      </c>
      <c r="Q14" s="18" t="n">
        <v>1.27900846</v>
      </c>
      <c r="R14" s="20" t="n">
        <v>0.58362577</v>
      </c>
    </row>
    <row r="15" spans="1:18">
      <c r="A15" s="15" t="s">
        <v>357</v>
      </c>
      <c r="B15" s="17" t="n">
        <v>2863</v>
      </c>
      <c r="C15" s="18">
        <f>(2511.0/B15*100)</f>
        <v/>
      </c>
      <c r="D15" s="19" t="n">
        <v>352</v>
      </c>
      <c r="E15" s="18" t="n">
        <v>42.08234807</v>
      </c>
      <c r="F15" s="20" t="n">
        <v>2.70605823</v>
      </c>
      <c r="G15" s="18" t="n">
        <v>53.84164171</v>
      </c>
      <c r="H15" s="20" t="n">
        <v>2.62046015</v>
      </c>
      <c r="I15" s="18" t="s">
        <v>349</v>
      </c>
      <c r="J15" s="20" t="s">
        <v>349</v>
      </c>
      <c r="K15" s="18" t="n">
        <v>0.77832524</v>
      </c>
      <c r="L15" s="20" t="n">
        <v>0.28008823</v>
      </c>
      <c r="M15" s="18" t="n">
        <v>0</v>
      </c>
      <c r="N15" s="20" t="n">
        <v>0</v>
      </c>
      <c r="O15" s="18" t="n">
        <v>0</v>
      </c>
      <c r="P15" s="20" t="n">
        <v>0</v>
      </c>
      <c r="Q15" s="18" t="n">
        <v>3.29768498</v>
      </c>
      <c r="R15" s="20" t="n">
        <v>0.96338521</v>
      </c>
    </row>
    <row r="16" spans="1:18">
      <c r="A16" s="15" t="s">
        <v>358</v>
      </c>
      <c r="B16" s="17" t="n">
        <v>3111</v>
      </c>
      <c r="C16" s="18">
        <f>(2731.0/B16*100)</f>
        <v/>
      </c>
      <c r="D16" s="19" t="n">
        <v>380</v>
      </c>
      <c r="E16" s="18" t="n">
        <v>48.76133236</v>
      </c>
      <c r="F16" s="20" t="n">
        <v>2.11694529</v>
      </c>
      <c r="G16" s="18" t="n">
        <v>45.51543274</v>
      </c>
      <c r="H16" s="20" t="n">
        <v>2.36751597</v>
      </c>
      <c r="I16" s="18" t="s">
        <v>349</v>
      </c>
      <c r="J16" s="20" t="s">
        <v>349</v>
      </c>
      <c r="K16" s="18" t="n">
        <v>0.97553025</v>
      </c>
      <c r="L16" s="20" t="n">
        <v>0.5206352</v>
      </c>
      <c r="M16" s="18" t="n">
        <v>0</v>
      </c>
      <c r="N16" s="20" t="n">
        <v>0</v>
      </c>
      <c r="O16" s="18" t="n">
        <v>0</v>
      </c>
      <c r="P16" s="20" t="n">
        <v>0</v>
      </c>
      <c r="Q16" s="18" t="n">
        <v>4.74770465</v>
      </c>
      <c r="R16" s="20" t="n">
        <v>1.03374371</v>
      </c>
    </row>
    <row r="17" spans="1:18">
      <c r="A17" s="15" t="s">
        <v>359</v>
      </c>
      <c r="B17" s="17" t="n">
        <v>3197</v>
      </c>
      <c r="C17" s="18">
        <f>(2824.0/B17*100)</f>
        <v/>
      </c>
      <c r="D17" s="19" t="n">
        <v>373</v>
      </c>
      <c r="E17" s="18" t="n">
        <v>45.55870333</v>
      </c>
      <c r="F17" s="20" t="n">
        <v>2.56740601</v>
      </c>
      <c r="G17" s="18" t="n">
        <v>50.55182853</v>
      </c>
      <c r="H17" s="20" t="n">
        <v>2.51130114</v>
      </c>
      <c r="I17" s="18" t="s">
        <v>349</v>
      </c>
      <c r="J17" s="20" t="s">
        <v>349</v>
      </c>
      <c r="K17" s="18" t="n">
        <v>0.2217741</v>
      </c>
      <c r="L17" s="20" t="n">
        <v>0.15466672</v>
      </c>
      <c r="M17" s="18" t="n">
        <v>0</v>
      </c>
      <c r="N17" s="20" t="n">
        <v>0</v>
      </c>
      <c r="O17" s="18" t="n">
        <v>0</v>
      </c>
      <c r="P17" s="20" t="n">
        <v>0</v>
      </c>
      <c r="Q17" s="18" t="n">
        <v>3.66769404</v>
      </c>
      <c r="R17" s="20" t="n">
        <v>1.04868993</v>
      </c>
    </row>
    <row r="18" spans="1:18">
      <c r="A18" s="15" t="s">
        <v>360</v>
      </c>
      <c r="B18" s="17" t="n">
        <v>2706</v>
      </c>
      <c r="C18" s="18">
        <f>(2342.0/B18*100)</f>
        <v/>
      </c>
      <c r="D18" s="19" t="n">
        <v>364</v>
      </c>
      <c r="E18" s="18" t="n">
        <v>57.2610071</v>
      </c>
      <c r="F18" s="20" t="n">
        <v>3.20705558</v>
      </c>
      <c r="G18" s="18" t="n">
        <v>40.16904871</v>
      </c>
      <c r="H18" s="20" t="n">
        <v>3.12635422</v>
      </c>
      <c r="I18" s="18" t="s">
        <v>349</v>
      </c>
      <c r="J18" s="20" t="s">
        <v>349</v>
      </c>
      <c r="K18" s="18" t="n">
        <v>1.02602105</v>
      </c>
      <c r="L18" s="20" t="n">
        <v>0.7582842</v>
      </c>
      <c r="M18" s="18" t="n">
        <v>0</v>
      </c>
      <c r="N18" s="20" t="n">
        <v>0</v>
      </c>
      <c r="O18" s="18" t="n">
        <v>0</v>
      </c>
      <c r="P18" s="20" t="n">
        <v>0</v>
      </c>
      <c r="Q18" s="18" t="n">
        <v>1.54392314</v>
      </c>
      <c r="R18" s="20" t="n">
        <v>0.50760277</v>
      </c>
    </row>
    <row r="19" spans="1:18">
      <c r="A19" s="15" t="s">
        <v>361</v>
      </c>
      <c r="B19" s="17" t="n">
        <v>2850</v>
      </c>
      <c r="C19" s="18">
        <f>(2493.0/B19*100)</f>
        <v/>
      </c>
      <c r="D19" s="19" t="n">
        <v>357</v>
      </c>
      <c r="E19" s="18" t="n">
        <v>58.438273</v>
      </c>
      <c r="F19" s="20" t="n">
        <v>2.95461303</v>
      </c>
      <c r="G19" s="18" t="n">
        <v>39.2298439</v>
      </c>
      <c r="H19" s="20" t="n">
        <v>2.99710117</v>
      </c>
      <c r="I19" s="18" t="s">
        <v>349</v>
      </c>
      <c r="J19" s="20" t="s">
        <v>349</v>
      </c>
      <c r="K19" s="18" t="n">
        <v>0</v>
      </c>
      <c r="L19" s="20" t="n">
        <v>0</v>
      </c>
      <c r="M19" s="18" t="n">
        <v>0</v>
      </c>
      <c r="N19" s="20" t="n">
        <v>0</v>
      </c>
      <c r="O19" s="18" t="n">
        <v>0</v>
      </c>
      <c r="P19" s="20" t="n">
        <v>0</v>
      </c>
      <c r="Q19" s="18" t="n">
        <v>2.3318831</v>
      </c>
      <c r="R19" s="20" t="n">
        <v>0.88864383</v>
      </c>
    </row>
    <row r="20" spans="1:18">
      <c r="A20" s="15" t="s">
        <v>362</v>
      </c>
      <c r="B20" s="17" t="n">
        <v>1741</v>
      </c>
      <c r="C20" s="18">
        <f>(1529.0/B20*100)</f>
        <v/>
      </c>
      <c r="D20" s="19" t="n">
        <v>212</v>
      </c>
      <c r="E20" s="18" t="n">
        <v>68.32994208</v>
      </c>
      <c r="F20" s="20" t="n">
        <v>3.31166453</v>
      </c>
      <c r="G20" s="18" t="n">
        <v>28.92155628</v>
      </c>
      <c r="H20" s="20" t="n">
        <v>3.10841523</v>
      </c>
      <c r="I20" s="18" t="s">
        <v>349</v>
      </c>
      <c r="J20" s="20" t="s">
        <v>349</v>
      </c>
      <c r="K20" s="18" t="n">
        <v>0.46045126</v>
      </c>
      <c r="L20" s="20" t="n">
        <v>0.46129879</v>
      </c>
      <c r="M20" s="18" t="n">
        <v>0</v>
      </c>
      <c r="N20" s="20" t="n">
        <v>0</v>
      </c>
      <c r="O20" s="18" t="n">
        <v>0</v>
      </c>
      <c r="P20" s="20" t="n">
        <v>0</v>
      </c>
      <c r="Q20" s="18" t="n">
        <v>2.28805038</v>
      </c>
      <c r="R20" s="20" t="n">
        <v>1.0304206</v>
      </c>
    </row>
    <row r="21" spans="1:18">
      <c r="A21" s="15" t="s">
        <v>363</v>
      </c>
      <c r="B21" s="17" t="n">
        <v>2833</v>
      </c>
      <c r="C21" s="18">
        <f>(2349.0/B21*100)</f>
        <v/>
      </c>
      <c r="D21" s="19" t="n">
        <v>484</v>
      </c>
      <c r="E21" s="18" t="n">
        <v>58.12844471</v>
      </c>
      <c r="F21" s="20" t="n">
        <v>2.48979359</v>
      </c>
      <c r="G21" s="18" t="n">
        <v>40.23649271</v>
      </c>
      <c r="H21" s="20" t="n">
        <v>2.40456852</v>
      </c>
      <c r="I21" s="18" t="s">
        <v>349</v>
      </c>
      <c r="J21" s="20" t="s">
        <v>349</v>
      </c>
      <c r="K21" s="18" t="n">
        <v>0.38264196</v>
      </c>
      <c r="L21" s="20" t="n">
        <v>0.26490935</v>
      </c>
      <c r="M21" s="18" t="n">
        <v>0</v>
      </c>
      <c r="N21" s="20" t="n">
        <v>0</v>
      </c>
      <c r="O21" s="18" t="n">
        <v>0</v>
      </c>
      <c r="P21" s="20" t="n">
        <v>0</v>
      </c>
      <c r="Q21" s="18" t="n">
        <v>1.25242062</v>
      </c>
      <c r="R21" s="20" t="n">
        <v>0.50093975</v>
      </c>
    </row>
    <row r="22" spans="1:18">
      <c r="A22" s="15" t="s">
        <v>364</v>
      </c>
      <c r="B22" s="17" t="n">
        <v>3667</v>
      </c>
      <c r="C22" s="18">
        <f>(3238.0/B22*100)</f>
        <v/>
      </c>
      <c r="D22" s="19" t="n">
        <v>429</v>
      </c>
      <c r="E22" s="18" t="n">
        <v>60.24374214</v>
      </c>
      <c r="F22" s="20" t="n">
        <v>2.69895077</v>
      </c>
      <c r="G22" s="18" t="n">
        <v>34.23411147</v>
      </c>
      <c r="H22" s="20" t="n">
        <v>2.56061706</v>
      </c>
      <c r="I22" s="18" t="s">
        <v>349</v>
      </c>
      <c r="J22" s="20" t="s">
        <v>349</v>
      </c>
      <c r="K22" s="18" t="n">
        <v>0.6775689</v>
      </c>
      <c r="L22" s="20" t="n">
        <v>0.41908385</v>
      </c>
      <c r="M22" s="18" t="n">
        <v>0</v>
      </c>
      <c r="N22" s="20" t="n">
        <v>0</v>
      </c>
      <c r="O22" s="18" t="n">
        <v>0</v>
      </c>
      <c r="P22" s="20" t="n">
        <v>0</v>
      </c>
      <c r="Q22" s="18" t="n">
        <v>4.8445775</v>
      </c>
      <c r="R22" s="20" t="n">
        <v>1.18457673</v>
      </c>
    </row>
    <row r="23" spans="1:18">
      <c r="A23" s="15" t="s">
        <v>365</v>
      </c>
      <c r="B23" s="17" t="n">
        <v>5792</v>
      </c>
      <c r="C23" s="18">
        <f>(5075.0/B23*100)</f>
        <v/>
      </c>
      <c r="D23" s="19" t="n">
        <v>717</v>
      </c>
      <c r="E23" s="18" t="n">
        <v>55.41339155</v>
      </c>
      <c r="F23" s="20" t="n">
        <v>2.30850456</v>
      </c>
      <c r="G23" s="18" t="n">
        <v>40.09461943</v>
      </c>
      <c r="H23" s="20" t="n">
        <v>2.23195274</v>
      </c>
      <c r="I23" s="18" t="s">
        <v>349</v>
      </c>
      <c r="J23" s="20" t="s">
        <v>349</v>
      </c>
      <c r="K23" s="18" t="n">
        <v>0.28231098</v>
      </c>
      <c r="L23" s="20" t="n">
        <v>0.27131959</v>
      </c>
      <c r="M23" s="18" t="n">
        <v>0</v>
      </c>
      <c r="N23" s="20" t="n">
        <v>0</v>
      </c>
      <c r="O23" s="18" t="n">
        <v>0</v>
      </c>
      <c r="P23" s="20" t="n">
        <v>0</v>
      </c>
      <c r="Q23" s="18" t="n">
        <v>4.20967804</v>
      </c>
      <c r="R23" s="20" t="n">
        <v>0.99071645</v>
      </c>
    </row>
    <row r="24" spans="1:18">
      <c r="A24" s="15" t="s">
        <v>366</v>
      </c>
      <c r="B24" s="17" t="n">
        <v>3309</v>
      </c>
      <c r="C24" s="18">
        <f>(2903.0/B24*100)</f>
        <v/>
      </c>
      <c r="D24" s="19" t="n">
        <v>406</v>
      </c>
      <c r="E24" s="18" t="n">
        <v>47.2026776</v>
      </c>
      <c r="F24" s="20" t="n">
        <v>2.17849929</v>
      </c>
      <c r="G24" s="18" t="n">
        <v>51.66722065</v>
      </c>
      <c r="H24" s="20" t="n">
        <v>2.22045937</v>
      </c>
      <c r="I24" s="18" t="s">
        <v>349</v>
      </c>
      <c r="J24" s="20" t="s">
        <v>349</v>
      </c>
      <c r="K24" s="18" t="n">
        <v>0</v>
      </c>
      <c r="L24" s="20" t="n">
        <v>0</v>
      </c>
      <c r="M24" s="18" t="n">
        <v>0</v>
      </c>
      <c r="N24" s="20" t="n">
        <v>0</v>
      </c>
      <c r="O24" s="18" t="n">
        <v>0</v>
      </c>
      <c r="P24" s="20" t="n">
        <v>0</v>
      </c>
      <c r="Q24" s="18" t="n">
        <v>1.13010175</v>
      </c>
      <c r="R24" s="20" t="n">
        <v>0.49252375</v>
      </c>
    </row>
    <row r="25" spans="1:18">
      <c r="A25" s="15" t="s">
        <v>367</v>
      </c>
      <c r="B25" s="17" t="n">
        <v>2669</v>
      </c>
      <c r="C25" s="18">
        <f>(2342.0/B25*100)</f>
        <v/>
      </c>
      <c r="D25" s="19" t="n">
        <v>327</v>
      </c>
      <c r="E25" s="18" t="n">
        <v>49.69122043</v>
      </c>
      <c r="F25" s="20" t="n">
        <v>3.5395588</v>
      </c>
      <c r="G25" s="18" t="n">
        <v>48.14968079</v>
      </c>
      <c r="H25" s="20" t="n">
        <v>3.49910466</v>
      </c>
      <c r="I25" s="18" t="s">
        <v>349</v>
      </c>
      <c r="J25" s="20" t="s">
        <v>349</v>
      </c>
      <c r="K25" s="18" t="n">
        <v>0</v>
      </c>
      <c r="L25" s="20" t="n">
        <v>0</v>
      </c>
      <c r="M25" s="18" t="n">
        <v>0</v>
      </c>
      <c r="N25" s="20" t="n">
        <v>0</v>
      </c>
      <c r="O25" s="18" t="n">
        <v>0</v>
      </c>
      <c r="P25" s="20" t="n">
        <v>0</v>
      </c>
      <c r="Q25" s="18" t="n">
        <v>2.15909878</v>
      </c>
      <c r="R25" s="20" t="n">
        <v>0.84208082</v>
      </c>
    </row>
    <row r="26" spans="1:18">
      <c r="A26" s="15" t="s">
        <v>368</v>
      </c>
      <c r="B26" s="17" t="n">
        <v>2419</v>
      </c>
      <c r="C26" s="18">
        <f>(2123.0/B26*100)</f>
        <v/>
      </c>
      <c r="D26" s="19" t="n">
        <v>296</v>
      </c>
      <c r="E26" s="18" t="n">
        <v>48.78104217</v>
      </c>
      <c r="F26" s="20" t="n">
        <v>2.80382756</v>
      </c>
      <c r="G26" s="18" t="n">
        <v>49.46998668</v>
      </c>
      <c r="H26" s="20" t="n">
        <v>2.80620164</v>
      </c>
      <c r="I26" s="18" t="s">
        <v>349</v>
      </c>
      <c r="J26" s="20" t="s">
        <v>349</v>
      </c>
      <c r="K26" s="18" t="n">
        <v>0.25900008</v>
      </c>
      <c r="L26" s="20" t="n">
        <v>0.35515128</v>
      </c>
      <c r="M26" s="18" t="n">
        <v>0</v>
      </c>
      <c r="N26" s="20" t="n">
        <v>0</v>
      </c>
      <c r="O26" s="18" t="n">
        <v>0</v>
      </c>
      <c r="P26" s="20" t="n">
        <v>0</v>
      </c>
      <c r="Q26" s="18" t="n">
        <v>1.48997107</v>
      </c>
      <c r="R26" s="20" t="n">
        <v>0.76326631</v>
      </c>
    </row>
    <row r="27" spans="1:18">
      <c r="A27" s="15" t="s">
        <v>369</v>
      </c>
      <c r="B27" s="17" t="n">
        <v>2683</v>
      </c>
      <c r="C27" s="18">
        <f>(2376.0/B27*100)</f>
        <v/>
      </c>
      <c r="D27" s="19" t="n">
        <v>307</v>
      </c>
      <c r="E27" s="18" t="n">
        <v>52.64838841</v>
      </c>
      <c r="F27" s="20" t="n">
        <v>2.72544233</v>
      </c>
      <c r="G27" s="18" t="n">
        <v>42.81520448</v>
      </c>
      <c r="H27" s="20" t="n">
        <v>2.76959973</v>
      </c>
      <c r="I27" s="18" t="s">
        <v>349</v>
      </c>
      <c r="J27" s="20" t="s">
        <v>349</v>
      </c>
      <c r="K27" s="18" t="n">
        <v>0</v>
      </c>
      <c r="L27" s="20" t="n">
        <v>0</v>
      </c>
      <c r="M27" s="18" t="n">
        <v>0</v>
      </c>
      <c r="N27" s="20" t="n">
        <v>0</v>
      </c>
      <c r="O27" s="18" t="n">
        <v>0</v>
      </c>
      <c r="P27" s="20" t="n">
        <v>0</v>
      </c>
      <c r="Q27" s="18" t="n">
        <v>4.53640711</v>
      </c>
      <c r="R27" s="20" t="n">
        <v>1.14938097</v>
      </c>
    </row>
    <row r="28" spans="1:18">
      <c r="A28" s="15" t="s">
        <v>370</v>
      </c>
      <c r="B28" s="17" t="n">
        <v>3803</v>
      </c>
      <c r="C28" s="18">
        <f>(3366.0/B28*100)</f>
        <v/>
      </c>
      <c r="D28" s="19" t="n">
        <v>437</v>
      </c>
      <c r="E28" s="18" t="n">
        <v>75.02043771</v>
      </c>
      <c r="F28" s="20" t="n">
        <v>2.41038986</v>
      </c>
      <c r="G28" s="18" t="n">
        <v>21.72225173</v>
      </c>
      <c r="H28" s="20" t="n">
        <v>2.0735067</v>
      </c>
      <c r="I28" s="18" t="s">
        <v>349</v>
      </c>
      <c r="J28" s="20" t="s">
        <v>349</v>
      </c>
      <c r="K28" s="18" t="n">
        <v>1.75682877</v>
      </c>
      <c r="L28" s="20" t="n">
        <v>1.16382968</v>
      </c>
      <c r="M28" s="18" t="n">
        <v>0</v>
      </c>
      <c r="N28" s="20" t="n">
        <v>0</v>
      </c>
      <c r="O28" s="18" t="n">
        <v>0</v>
      </c>
      <c r="P28" s="20" t="n">
        <v>0</v>
      </c>
      <c r="Q28" s="18" t="n">
        <v>1.50048179</v>
      </c>
      <c r="R28" s="20" t="n">
        <v>0.65802935</v>
      </c>
    </row>
    <row r="29" spans="1:18">
      <c r="A29" s="15" t="s">
        <v>371</v>
      </c>
      <c r="B29" s="17" t="n">
        <v>2700</v>
      </c>
      <c r="C29" s="18">
        <f>(2367.0/B29*100)</f>
        <v/>
      </c>
      <c r="D29" s="19" t="n">
        <v>333</v>
      </c>
      <c r="E29" s="18" t="n">
        <v>47.73594448</v>
      </c>
      <c r="F29" s="20" t="n">
        <v>3.07199561</v>
      </c>
      <c r="G29" s="18" t="n">
        <v>51.02747348</v>
      </c>
      <c r="H29" s="20" t="n">
        <v>3.17583979</v>
      </c>
      <c r="I29" s="18" t="s">
        <v>349</v>
      </c>
      <c r="J29" s="20" t="s">
        <v>349</v>
      </c>
      <c r="K29" s="18" t="n">
        <v>0</v>
      </c>
      <c r="L29" s="20" t="n">
        <v>0</v>
      </c>
      <c r="M29" s="18" t="n">
        <v>0</v>
      </c>
      <c r="N29" s="20" t="n">
        <v>0</v>
      </c>
      <c r="O29" s="18" t="n">
        <v>0</v>
      </c>
      <c r="P29" s="20" t="n">
        <v>0</v>
      </c>
      <c r="Q29" s="18" t="n">
        <v>1.23658204</v>
      </c>
      <c r="R29" s="20" t="n">
        <v>0.5564273199999999</v>
      </c>
    </row>
    <row r="30" spans="1:18">
      <c r="A30" s="15" t="s">
        <v>372</v>
      </c>
      <c r="B30" s="17" t="n">
        <v>2257</v>
      </c>
      <c r="C30" s="18">
        <f>(1987.0/B30*100)</f>
        <v/>
      </c>
      <c r="D30" s="19" t="n">
        <v>270</v>
      </c>
      <c r="E30" s="18" t="n">
        <v>52.33338644</v>
      </c>
      <c r="F30" s="20" t="n">
        <v>2.65554591</v>
      </c>
      <c r="G30" s="18" t="n">
        <v>40.16860435</v>
      </c>
      <c r="H30" s="20" t="n">
        <v>2.64658501</v>
      </c>
      <c r="I30" s="18" t="s">
        <v>349</v>
      </c>
      <c r="J30" s="20" t="s">
        <v>349</v>
      </c>
      <c r="K30" s="18" t="n">
        <v>1.71881831</v>
      </c>
      <c r="L30" s="20" t="n">
        <v>0.86505721</v>
      </c>
      <c r="M30" s="18" t="n">
        <v>0</v>
      </c>
      <c r="N30" s="20" t="n">
        <v>0</v>
      </c>
      <c r="O30" s="18" t="n">
        <v>0</v>
      </c>
      <c r="P30" s="20" t="n">
        <v>0</v>
      </c>
      <c r="Q30" s="18" t="n">
        <v>5.7791909</v>
      </c>
      <c r="R30" s="20" t="n">
        <v>1.59902582</v>
      </c>
    </row>
    <row r="31" spans="1:18">
      <c r="A31" s="15" t="s">
        <v>373</v>
      </c>
      <c r="B31" s="17" t="n">
        <v>2706</v>
      </c>
      <c r="C31" s="18">
        <f>(2373.0/B31*100)</f>
        <v/>
      </c>
      <c r="D31" s="19" t="n">
        <v>333</v>
      </c>
      <c r="E31" s="18" t="n">
        <v>51.62664563</v>
      </c>
      <c r="F31" s="20" t="n">
        <v>3.14133084</v>
      </c>
      <c r="G31" s="18" t="n">
        <v>43.94830166</v>
      </c>
      <c r="H31" s="20" t="n">
        <v>3.20955655</v>
      </c>
      <c r="I31" s="18" t="s">
        <v>349</v>
      </c>
      <c r="J31" s="20" t="s">
        <v>349</v>
      </c>
      <c r="K31" s="18" t="n">
        <v>0.88762064</v>
      </c>
      <c r="L31" s="20" t="n">
        <v>0.50863995</v>
      </c>
      <c r="M31" s="18" t="n">
        <v>0</v>
      </c>
      <c r="N31" s="20" t="n">
        <v>0</v>
      </c>
      <c r="O31" s="18" t="n">
        <v>0</v>
      </c>
      <c r="P31" s="20" t="n">
        <v>0</v>
      </c>
      <c r="Q31" s="18" t="n">
        <v>3.53743206</v>
      </c>
      <c r="R31" s="20" t="n">
        <v>1.1364402</v>
      </c>
    </row>
    <row r="32" spans="1:18">
      <c r="A32" s="15" t="s">
        <v>374</v>
      </c>
      <c r="B32" s="17" t="n">
        <v>2209</v>
      </c>
      <c r="C32" s="18">
        <f>(1859.0/B32*100)</f>
        <v/>
      </c>
      <c r="D32" s="19" t="n">
        <v>350</v>
      </c>
      <c r="E32" s="18" t="n">
        <v>53.30992911</v>
      </c>
      <c r="F32" s="20" t="n">
        <v>2.84713112</v>
      </c>
      <c r="G32" s="18" t="n">
        <v>45.40319569</v>
      </c>
      <c r="H32" s="20" t="n">
        <v>2.91830688</v>
      </c>
      <c r="I32" s="18" t="s">
        <v>349</v>
      </c>
      <c r="J32" s="20" t="s">
        <v>349</v>
      </c>
      <c r="K32" s="18" t="n">
        <v>0.44661141</v>
      </c>
      <c r="L32" s="20" t="n">
        <v>0.43665276</v>
      </c>
      <c r="M32" s="18" t="n">
        <v>0</v>
      </c>
      <c r="N32" s="20" t="n">
        <v>0</v>
      </c>
      <c r="O32" s="18" t="n">
        <v>0</v>
      </c>
      <c r="P32" s="20" t="n">
        <v>0</v>
      </c>
      <c r="Q32" s="18" t="n">
        <v>0.84026379</v>
      </c>
      <c r="R32" s="20" t="n">
        <v>0.45191362</v>
      </c>
    </row>
    <row r="33" spans="1:18">
      <c r="A33" s="15" t="s">
        <v>375</v>
      </c>
      <c r="B33" s="17" t="n">
        <v>3651</v>
      </c>
      <c r="C33" s="18">
        <f>(3204.0/B33*100)</f>
        <v/>
      </c>
      <c r="D33" s="19" t="n">
        <v>447</v>
      </c>
      <c r="E33" s="18" t="n">
        <v>59.15294536</v>
      </c>
      <c r="F33" s="20" t="n">
        <v>2.11483433</v>
      </c>
      <c r="G33" s="18" t="n">
        <v>37.79436352</v>
      </c>
      <c r="H33" s="20" t="n">
        <v>2.22687673</v>
      </c>
      <c r="I33" s="18" t="s">
        <v>349</v>
      </c>
      <c r="J33" s="20" t="s">
        <v>349</v>
      </c>
      <c r="K33" s="18" t="n">
        <v>0.32649139</v>
      </c>
      <c r="L33" s="20" t="n">
        <v>0.29175438</v>
      </c>
      <c r="M33" s="18" t="n">
        <v>0</v>
      </c>
      <c r="N33" s="20" t="n">
        <v>0</v>
      </c>
      <c r="O33" s="18" t="n">
        <v>0</v>
      </c>
      <c r="P33" s="20" t="n">
        <v>0</v>
      </c>
      <c r="Q33" s="18" t="n">
        <v>2.72619973</v>
      </c>
      <c r="R33" s="20" t="n">
        <v>0.8924986499999999</v>
      </c>
    </row>
    <row r="34" spans="1:18">
      <c r="A34" s="15" t="s">
        <v>376</v>
      </c>
      <c r="B34" s="17" t="n">
        <v>3035</v>
      </c>
      <c r="C34" s="18">
        <f>(2698.0/B34*100)</f>
        <v/>
      </c>
      <c r="D34" s="19" t="n">
        <v>337</v>
      </c>
      <c r="E34" s="18" t="n">
        <v>61.83848431</v>
      </c>
      <c r="F34" s="20" t="n">
        <v>2.53776049</v>
      </c>
      <c r="G34" s="18" t="n">
        <v>36.63254597</v>
      </c>
      <c r="H34" s="20" t="n">
        <v>2.53322966</v>
      </c>
      <c r="I34" s="18" t="s">
        <v>349</v>
      </c>
      <c r="J34" s="20" t="s">
        <v>349</v>
      </c>
      <c r="K34" s="18" t="n">
        <v>0</v>
      </c>
      <c r="L34" s="20" t="n">
        <v>0</v>
      </c>
      <c r="M34" s="18" t="n">
        <v>0</v>
      </c>
      <c r="N34" s="20" t="n">
        <v>0</v>
      </c>
      <c r="O34" s="18" t="n">
        <v>0</v>
      </c>
      <c r="P34" s="20" t="n">
        <v>0</v>
      </c>
      <c r="Q34" s="18" t="n">
        <v>1.52896972</v>
      </c>
      <c r="R34" s="20" t="n">
        <v>0.7460743399999999</v>
      </c>
    </row>
    <row r="35" spans="1:18">
      <c r="A35" s="15" t="s">
        <v>377</v>
      </c>
      <c r="B35" s="17" t="n">
        <v>2901</v>
      </c>
      <c r="C35" s="18">
        <f>(2568.0/B35*100)</f>
        <v/>
      </c>
      <c r="D35" s="19" t="n">
        <v>333</v>
      </c>
      <c r="E35" s="18" t="n">
        <v>51.48167966</v>
      </c>
      <c r="F35" s="20" t="n">
        <v>3.63313921</v>
      </c>
      <c r="G35" s="18" t="n">
        <v>46.71669787</v>
      </c>
      <c r="H35" s="20" t="n">
        <v>3.68107723</v>
      </c>
      <c r="I35" s="18" t="s">
        <v>349</v>
      </c>
      <c r="J35" s="20" t="s">
        <v>349</v>
      </c>
      <c r="K35" s="18" t="n">
        <v>0.14195897</v>
      </c>
      <c r="L35" s="20" t="n">
        <v>0.14336287</v>
      </c>
      <c r="M35" s="18" t="n">
        <v>0</v>
      </c>
      <c r="N35" s="20" t="n">
        <v>0</v>
      </c>
      <c r="O35" s="18" t="n">
        <v>0</v>
      </c>
      <c r="P35" s="20" t="n">
        <v>0</v>
      </c>
      <c r="Q35" s="18" t="n">
        <v>1.65966349</v>
      </c>
      <c r="R35" s="20" t="n">
        <v>0.8254768</v>
      </c>
    </row>
    <row r="36" spans="1:18">
      <c r="A36" s="15" t="s">
        <v>378</v>
      </c>
      <c r="B36" s="17" t="n">
        <v>3404</v>
      </c>
      <c r="C36" s="18">
        <f>(3010.0/B36*100)</f>
        <v/>
      </c>
      <c r="D36" s="19" t="n">
        <v>394</v>
      </c>
      <c r="E36" s="18" t="n">
        <v>61.26356875</v>
      </c>
      <c r="F36" s="20" t="n">
        <v>2.64430544</v>
      </c>
      <c r="G36" s="18" t="n">
        <v>33.79654908</v>
      </c>
      <c r="H36" s="20" t="n">
        <v>2.57494395</v>
      </c>
      <c r="I36" s="18" t="s">
        <v>349</v>
      </c>
      <c r="J36" s="20" t="s">
        <v>349</v>
      </c>
      <c r="K36" s="18" t="n">
        <v>0.60858552</v>
      </c>
      <c r="L36" s="20" t="n">
        <v>0.42009456</v>
      </c>
      <c r="M36" s="18" t="n">
        <v>0</v>
      </c>
      <c r="N36" s="20" t="n">
        <v>0</v>
      </c>
      <c r="O36" s="18" t="n">
        <v>0</v>
      </c>
      <c r="P36" s="20" t="n">
        <v>0</v>
      </c>
      <c r="Q36" s="18" t="n">
        <v>4.33129664</v>
      </c>
      <c r="R36" s="20" t="n">
        <v>1.13842188</v>
      </c>
    </row>
    <row r="37" spans="1:18">
      <c r="A37" s="15" t="s">
        <v>379</v>
      </c>
      <c r="B37" s="17" t="n">
        <v>2731</v>
      </c>
      <c r="C37" s="18">
        <f>(2404.0/B37*100)</f>
        <v/>
      </c>
      <c r="D37" s="19" t="n">
        <v>327</v>
      </c>
      <c r="E37" s="18" t="n">
        <v>52.65041848</v>
      </c>
      <c r="F37" s="20" t="n">
        <v>3.11650855</v>
      </c>
      <c r="G37" s="18" t="n">
        <v>38.47904119</v>
      </c>
      <c r="H37" s="20" t="n">
        <v>2.76662487</v>
      </c>
      <c r="I37" s="18" t="s">
        <v>349</v>
      </c>
      <c r="J37" s="20" t="s">
        <v>349</v>
      </c>
      <c r="K37" s="18" t="n">
        <v>0.91444898</v>
      </c>
      <c r="L37" s="20" t="n">
        <v>0.52351497</v>
      </c>
      <c r="M37" s="18" t="n">
        <v>0</v>
      </c>
      <c r="N37" s="20" t="n">
        <v>0</v>
      </c>
      <c r="O37" s="18" t="n">
        <v>0</v>
      </c>
      <c r="P37" s="20" t="n">
        <v>0</v>
      </c>
      <c r="Q37" s="18" t="n">
        <v>7.95609135</v>
      </c>
      <c r="R37" s="20" t="n">
        <v>1.35866434</v>
      </c>
    </row>
    <row r="38" spans="1:18">
      <c r="A38" s="15" t="s">
        <v>380</v>
      </c>
      <c r="B38" s="17" t="n">
        <v>2807</v>
      </c>
      <c r="C38" s="18">
        <f>(2328.0/B38*100)</f>
        <v/>
      </c>
      <c r="D38" s="19" t="n">
        <v>479</v>
      </c>
      <c r="E38" s="18" t="n">
        <v>41.70323302</v>
      </c>
      <c r="F38" s="20" t="n">
        <v>2.90005259</v>
      </c>
      <c r="G38" s="18" t="n">
        <v>53.66805741</v>
      </c>
      <c r="H38" s="20" t="n">
        <v>2.87583535</v>
      </c>
      <c r="I38" s="18" t="s">
        <v>349</v>
      </c>
      <c r="J38" s="20" t="s">
        <v>349</v>
      </c>
      <c r="K38" s="18" t="n">
        <v>0.33692376</v>
      </c>
      <c r="L38" s="20" t="n">
        <v>0.23749774</v>
      </c>
      <c r="M38" s="18" t="n">
        <v>0</v>
      </c>
      <c r="N38" s="20" t="n">
        <v>0</v>
      </c>
      <c r="O38" s="18" t="n">
        <v>0</v>
      </c>
      <c r="P38" s="20" t="n">
        <v>0</v>
      </c>
      <c r="Q38" s="18" t="n">
        <v>4.2917858</v>
      </c>
      <c r="R38" s="20" t="n">
        <v>1.07805651</v>
      </c>
    </row>
    <row r="39" spans="1:18">
      <c r="A39" s="15" t="s">
        <v>381</v>
      </c>
      <c r="B39" s="17" t="n">
        <v>2938</v>
      </c>
      <c r="C39" s="18">
        <f>(2577.0/B39*100)</f>
        <v/>
      </c>
      <c r="D39" s="19" t="n">
        <v>361</v>
      </c>
      <c r="E39" s="18" t="n">
        <v>69.9386075</v>
      </c>
      <c r="F39" s="20" t="n">
        <v>2.79726477</v>
      </c>
      <c r="G39" s="18" t="n">
        <v>26.03671023</v>
      </c>
      <c r="H39" s="20" t="n">
        <v>2.87614127</v>
      </c>
      <c r="I39" s="18" t="s">
        <v>349</v>
      </c>
      <c r="J39" s="20" t="s">
        <v>349</v>
      </c>
      <c r="K39" s="18" t="n">
        <v>0</v>
      </c>
      <c r="L39" s="20" t="n">
        <v>0</v>
      </c>
      <c r="M39" s="18" t="n">
        <v>0</v>
      </c>
      <c r="N39" s="20" t="n">
        <v>0</v>
      </c>
      <c r="O39" s="18" t="n">
        <v>0</v>
      </c>
      <c r="P39" s="20" t="n">
        <v>0</v>
      </c>
      <c r="Q39" s="18" t="n">
        <v>4.02468227</v>
      </c>
      <c r="R39" s="20" t="n">
        <v>1.21080317</v>
      </c>
    </row>
    <row r="40" spans="1:18">
      <c r="A40" s="15" t="s">
        <v>382</v>
      </c>
      <c r="B40" s="17" t="n">
        <v>6922</v>
      </c>
      <c r="C40" s="18">
        <f>(6093.0/B40*100)</f>
        <v/>
      </c>
      <c r="D40" s="19" t="n">
        <v>829</v>
      </c>
      <c r="E40" s="18" t="n">
        <v>52.14589354</v>
      </c>
      <c r="F40" s="20" t="n">
        <v>3.04220195</v>
      </c>
      <c r="G40" s="18" t="n">
        <v>43.57227753</v>
      </c>
      <c r="H40" s="20" t="n">
        <v>3.1666561</v>
      </c>
      <c r="I40" s="18" t="s">
        <v>349</v>
      </c>
      <c r="J40" s="20" t="s">
        <v>349</v>
      </c>
      <c r="K40" s="18" t="n">
        <v>0.46535481</v>
      </c>
      <c r="L40" s="20" t="n">
        <v>0.46626654</v>
      </c>
      <c r="M40" s="18" t="n">
        <v>0</v>
      </c>
      <c r="N40" s="20" t="n">
        <v>0</v>
      </c>
      <c r="O40" s="18" t="n">
        <v>0</v>
      </c>
      <c r="P40" s="20" t="n">
        <v>0</v>
      </c>
      <c r="Q40" s="18" t="n">
        <v>3.81647412</v>
      </c>
      <c r="R40" s="20" t="n">
        <v>1.1388698</v>
      </c>
    </row>
    <row r="41" spans="1:18">
      <c r="A41" s="15" t="s">
        <v>383</v>
      </c>
      <c r="B41" s="17" t="n">
        <v>2854</v>
      </c>
      <c r="C41" s="18">
        <f>(2515.0/B41*100)</f>
        <v/>
      </c>
      <c r="D41" s="19" t="n">
        <v>339</v>
      </c>
      <c r="E41" s="18" t="n">
        <v>60.73595332</v>
      </c>
      <c r="F41" s="20" t="n">
        <v>2.50520968</v>
      </c>
      <c r="G41" s="18" t="n">
        <v>36.56714947</v>
      </c>
      <c r="H41" s="20" t="n">
        <v>2.46874095</v>
      </c>
      <c r="I41" s="18" t="s">
        <v>349</v>
      </c>
      <c r="J41" s="20" t="s">
        <v>349</v>
      </c>
      <c r="K41" s="18" t="n">
        <v>0.80626229</v>
      </c>
      <c r="L41" s="20" t="n">
        <v>0.5220998</v>
      </c>
      <c r="M41" s="18" t="n">
        <v>0</v>
      </c>
      <c r="N41" s="20" t="n">
        <v>0</v>
      </c>
      <c r="O41" s="18" t="n">
        <v>0</v>
      </c>
      <c r="P41" s="20" t="n">
        <v>0</v>
      </c>
      <c r="Q41" s="18" t="n">
        <v>1.89063492</v>
      </c>
      <c r="R41" s="20" t="n">
        <v>0.70391253</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(10881.0/B46*100)</f>
        <v/>
      </c>
      <c r="D46" s="19" t="n">
        <v>1192</v>
      </c>
      <c r="E46" s="18" t="n">
        <v>75.43183367</v>
      </c>
      <c r="F46" s="20" t="n">
        <v>1.75852204</v>
      </c>
      <c r="G46" s="18" t="n">
        <v>18.21193811</v>
      </c>
      <c r="H46" s="20" t="n">
        <v>1.57358381</v>
      </c>
      <c r="I46" s="18" t="s">
        <v>349</v>
      </c>
      <c r="J46" s="20" t="s">
        <v>349</v>
      </c>
      <c r="K46" s="18" t="n">
        <v>1.45735606</v>
      </c>
      <c r="L46" s="20" t="n">
        <v>0.46869621</v>
      </c>
      <c r="M46" s="18" t="n">
        <v>0</v>
      </c>
      <c r="N46" s="20" t="n">
        <v>0</v>
      </c>
      <c r="O46" s="18" t="n">
        <v>0</v>
      </c>
      <c r="P46" s="20" t="n">
        <v>0</v>
      </c>
      <c r="Q46" s="18" t="n">
        <v>4.89887216</v>
      </c>
      <c r="R46" s="20" t="n">
        <v>0.84356122</v>
      </c>
    </row>
    <row r="47" spans="1:18">
      <c r="A47" s="15" t="s">
        <v>389</v>
      </c>
      <c r="B47" s="17" t="n">
        <v>2823</v>
      </c>
      <c r="C47" s="18">
        <f>(2483.0/B47*100)</f>
        <v/>
      </c>
      <c r="D47" s="19" t="n">
        <v>340</v>
      </c>
      <c r="E47" s="18" t="n">
        <v>59.94725042</v>
      </c>
      <c r="F47" s="20" t="n">
        <v>2.86485043</v>
      </c>
      <c r="G47" s="18" t="n">
        <v>37.16785006</v>
      </c>
      <c r="H47" s="20" t="n">
        <v>2.93179281</v>
      </c>
      <c r="I47" s="18" t="s">
        <v>349</v>
      </c>
      <c r="J47" s="20" t="s">
        <v>349</v>
      </c>
      <c r="K47" s="18" t="n">
        <v>0.8427810100000001</v>
      </c>
      <c r="L47" s="20" t="n">
        <v>0.56040778</v>
      </c>
      <c r="M47" s="18" t="n">
        <v>0</v>
      </c>
      <c r="N47" s="20" t="n">
        <v>0</v>
      </c>
      <c r="O47" s="18" t="n">
        <v>0</v>
      </c>
      <c r="P47" s="20" t="n">
        <v>0</v>
      </c>
      <c r="Q47" s="18" t="n">
        <v>2.04211851</v>
      </c>
      <c r="R47" s="20" t="n">
        <v>0.64617503</v>
      </c>
    </row>
    <row r="48" spans="1:18">
      <c r="A48" s="15" t="s">
        <v>390</v>
      </c>
      <c r="B48" s="17" t="n">
        <v>4682</v>
      </c>
      <c r="C48" s="18">
        <f>(4111.0/B48*100)</f>
        <v/>
      </c>
      <c r="D48" s="19" t="n">
        <v>571</v>
      </c>
      <c r="E48" s="18" t="n">
        <v>52.81829689</v>
      </c>
      <c r="F48" s="20" t="n">
        <v>3.09495874</v>
      </c>
      <c r="G48" s="18" t="n">
        <v>46.87817799</v>
      </c>
      <c r="H48" s="20" t="n">
        <v>3.09809625</v>
      </c>
      <c r="I48" s="18" t="s">
        <v>349</v>
      </c>
      <c r="J48" s="20" t="s">
        <v>349</v>
      </c>
      <c r="K48" s="18" t="n">
        <v>0</v>
      </c>
      <c r="L48" s="20" t="n">
        <v>0</v>
      </c>
      <c r="M48" s="18" t="n">
        <v>0</v>
      </c>
      <c r="N48" s="20" t="n">
        <v>0</v>
      </c>
      <c r="O48" s="18" t="n">
        <v>0</v>
      </c>
      <c r="P48" s="20" t="n">
        <v>0</v>
      </c>
      <c r="Q48" s="18" t="n">
        <v>0.30352513</v>
      </c>
      <c r="R48" s="20" t="n">
        <v>0.30291662</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(5415.0/B50*100)</f>
        <v/>
      </c>
      <c r="D50" s="19" t="n">
        <v>743</v>
      </c>
      <c r="E50" s="18" t="n">
        <v>74.76241498</v>
      </c>
      <c r="F50" s="20" t="n">
        <v>2.17586528</v>
      </c>
      <c r="G50" s="18" t="n">
        <v>23.35210678</v>
      </c>
      <c r="H50" s="20" t="n">
        <v>2.1763143</v>
      </c>
      <c r="I50" s="18" t="s">
        <v>349</v>
      </c>
      <c r="J50" s="20" t="s">
        <v>349</v>
      </c>
      <c r="K50" s="18" t="n">
        <v>0.39806907</v>
      </c>
      <c r="L50" s="20" t="n">
        <v>0.22046647</v>
      </c>
      <c r="M50" s="18" t="n">
        <v>0</v>
      </c>
      <c r="N50" s="20" t="n">
        <v>0</v>
      </c>
      <c r="O50" s="18" t="n">
        <v>0</v>
      </c>
      <c r="P50" s="20" t="n">
        <v>0</v>
      </c>
      <c r="Q50" s="18" t="n">
        <v>1.48740917</v>
      </c>
      <c r="R50" s="20" t="n">
        <v>0.54239943</v>
      </c>
    </row>
    <row r="51" spans="1:18">
      <c r="A51" s="15" t="s">
        <v>393</v>
      </c>
      <c r="B51" s="17" t="n">
        <v>3494</v>
      </c>
      <c r="C51" s="18">
        <f>(3106.0/B51*100)</f>
        <v/>
      </c>
      <c r="D51" s="19" t="n">
        <v>388</v>
      </c>
      <c r="E51" s="18" t="n">
        <v>74.29423051000001</v>
      </c>
      <c r="F51" s="20" t="n">
        <v>2.42228792</v>
      </c>
      <c r="G51" s="18" t="n">
        <v>20.80833346</v>
      </c>
      <c r="H51" s="20" t="n">
        <v>2.11292583</v>
      </c>
      <c r="I51" s="18" t="s">
        <v>349</v>
      </c>
      <c r="J51" s="20" t="s">
        <v>349</v>
      </c>
      <c r="K51" s="18" t="n">
        <v>0.45987935</v>
      </c>
      <c r="L51" s="20" t="n">
        <v>0.3055581</v>
      </c>
      <c r="M51" s="18" t="n">
        <v>0</v>
      </c>
      <c r="N51" s="20" t="n">
        <v>0</v>
      </c>
      <c r="O51" s="18" t="n">
        <v>0</v>
      </c>
      <c r="P51" s="20" t="n">
        <v>0</v>
      </c>
      <c r="Q51" s="18" t="n">
        <v>4.43755669</v>
      </c>
      <c r="R51" s="20" t="n">
        <v>1.0902921</v>
      </c>
    </row>
    <row r="52" spans="1:18">
      <c r="A52" s="15" t="s">
        <v>394</v>
      </c>
      <c r="B52" s="17" t="n">
        <v>3013</v>
      </c>
      <c r="C52" s="18">
        <f>(2637.0/B52*100)</f>
        <v/>
      </c>
      <c r="D52" s="19" t="n">
        <v>376</v>
      </c>
      <c r="E52" s="18" t="n">
        <v>67.51243728999999</v>
      </c>
      <c r="F52" s="20" t="n">
        <v>2.50007904</v>
      </c>
      <c r="G52" s="18" t="n">
        <v>28.1207913</v>
      </c>
      <c r="H52" s="20" t="n">
        <v>2.44863264</v>
      </c>
      <c r="I52" s="18" t="s">
        <v>349</v>
      </c>
      <c r="J52" s="20" t="s">
        <v>349</v>
      </c>
      <c r="K52" s="18" t="n">
        <v>0</v>
      </c>
      <c r="L52" s="20" t="n">
        <v>0</v>
      </c>
      <c r="M52" s="18" t="n">
        <v>0</v>
      </c>
      <c r="N52" s="20" t="n">
        <v>0</v>
      </c>
      <c r="O52" s="18" t="n">
        <v>0</v>
      </c>
      <c r="P52" s="20" t="n">
        <v>0</v>
      </c>
      <c r="Q52" s="18" t="n">
        <v>4.36677141</v>
      </c>
      <c r="R52" s="20" t="n">
        <v>1.13809792</v>
      </c>
    </row>
    <row r="53" spans="1:18">
      <c r="A53" s="15" t="s">
        <v>395</v>
      </c>
      <c r="B53" s="17" t="n">
        <v>2760</v>
      </c>
      <c r="C53" s="18">
        <f>(2411.0/B53*100)</f>
        <v/>
      </c>
      <c r="D53" s="19" t="n">
        <v>349</v>
      </c>
      <c r="E53" s="18" t="n">
        <v>63.86190932</v>
      </c>
      <c r="F53" s="20" t="n">
        <v>2.5713488</v>
      </c>
      <c r="G53" s="18" t="n">
        <v>33.10832481</v>
      </c>
      <c r="H53" s="20" t="n">
        <v>2.49151251</v>
      </c>
      <c r="I53" s="18" t="s">
        <v>349</v>
      </c>
      <c r="J53" s="20" t="s">
        <v>349</v>
      </c>
      <c r="K53" s="18" t="n">
        <v>0.40698438</v>
      </c>
      <c r="L53" s="20" t="n">
        <v>0.2779854</v>
      </c>
      <c r="M53" s="18" t="n">
        <v>0</v>
      </c>
      <c r="N53" s="20" t="n">
        <v>0</v>
      </c>
      <c r="O53" s="18" t="n">
        <v>0</v>
      </c>
      <c r="P53" s="20" t="n">
        <v>0</v>
      </c>
      <c r="Q53" s="18" t="n">
        <v>2.62278149</v>
      </c>
      <c r="R53" s="20" t="n">
        <v>0.97495426</v>
      </c>
    </row>
    <row r="54" spans="1:18">
      <c r="A54" s="15" t="s">
        <v>396</v>
      </c>
      <c r="B54" s="17" t="n">
        <v>2474</v>
      </c>
      <c r="C54" s="18">
        <f>(2083.0/B54*100)</f>
        <v/>
      </c>
      <c r="D54" s="19" t="n">
        <v>391</v>
      </c>
      <c r="E54" s="18" t="n">
        <v>67.88437277</v>
      </c>
      <c r="F54" s="20" t="n">
        <v>2.64119287</v>
      </c>
      <c r="G54" s="18" t="n">
        <v>15.83635726</v>
      </c>
      <c r="H54" s="20" t="n">
        <v>1.81336078</v>
      </c>
      <c r="I54" s="18" t="s">
        <v>349</v>
      </c>
      <c r="J54" s="20" t="s">
        <v>349</v>
      </c>
      <c r="K54" s="18" t="n">
        <v>11.54719181</v>
      </c>
      <c r="L54" s="20" t="n">
        <v>1.98158691</v>
      </c>
      <c r="M54" s="18" t="n">
        <v>0</v>
      </c>
      <c r="N54" s="20" t="n">
        <v>0</v>
      </c>
      <c r="O54" s="18" t="n">
        <v>0</v>
      </c>
      <c r="P54" s="20" t="n">
        <v>0</v>
      </c>
      <c r="Q54" s="18" t="n">
        <v>4.73207816</v>
      </c>
      <c r="R54" s="20" t="n">
        <v>1.17787526</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(2336.0/B56*100)</f>
        <v/>
      </c>
      <c r="D56" s="19" t="n">
        <v>339</v>
      </c>
      <c r="E56" s="18" t="n">
        <v>51.89446693</v>
      </c>
      <c r="F56" s="20" t="n">
        <v>3.06395168</v>
      </c>
      <c r="G56" s="18" t="n">
        <v>46.14055385</v>
      </c>
      <c r="H56" s="20" t="n">
        <v>3.01027584</v>
      </c>
      <c r="I56" s="18" t="s">
        <v>349</v>
      </c>
      <c r="J56" s="20" t="s">
        <v>349</v>
      </c>
      <c r="K56" s="18" t="n">
        <v>0.26934916</v>
      </c>
      <c r="L56" s="20" t="n">
        <v>0.29933779</v>
      </c>
      <c r="M56" s="18" t="n">
        <v>0</v>
      </c>
      <c r="N56" s="20" t="n">
        <v>0</v>
      </c>
      <c r="O56" s="18" t="n">
        <v>0</v>
      </c>
      <c r="P56" s="20" t="n">
        <v>0</v>
      </c>
      <c r="Q56" s="18" t="n">
        <v>1.69563007</v>
      </c>
      <c r="R56" s="20" t="n">
        <v>0.75013547</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(2817.0/B61*100)</f>
        <v/>
      </c>
      <c r="D61" s="19" t="n">
        <v>384</v>
      </c>
      <c r="E61" s="18" t="n">
        <v>60.72796832</v>
      </c>
      <c r="F61" s="20" t="n">
        <v>2.74592381</v>
      </c>
      <c r="G61" s="18" t="n">
        <v>36.81596413</v>
      </c>
      <c r="H61" s="20" t="n">
        <v>2.62306642</v>
      </c>
      <c r="I61" s="18" t="s">
        <v>349</v>
      </c>
      <c r="J61" s="20" t="s">
        <v>349</v>
      </c>
      <c r="K61" s="18" t="n">
        <v>0</v>
      </c>
      <c r="L61" s="20" t="n">
        <v>0</v>
      </c>
      <c r="M61" s="18" t="n">
        <v>0</v>
      </c>
      <c r="N61" s="20" t="n">
        <v>0</v>
      </c>
      <c r="O61" s="18" t="n">
        <v>0</v>
      </c>
      <c r="P61" s="20" t="n">
        <v>0</v>
      </c>
      <c r="Q61" s="18" t="n">
        <v>2.45606755</v>
      </c>
      <c r="R61" s="20" t="n">
        <v>0.9095219</v>
      </c>
    </row>
    <row r="62" spans="1:18">
      <c r="A62" s="15" t="s">
        <v>404</v>
      </c>
      <c r="B62" s="17" t="n">
        <v>2230</v>
      </c>
      <c r="C62" s="18">
        <f>(1945.0/B62*100)</f>
        <v/>
      </c>
      <c r="D62" s="19" t="n">
        <v>285</v>
      </c>
      <c r="E62" s="18" t="n">
        <v>48.75912729</v>
      </c>
      <c r="F62" s="20" t="n">
        <v>3.07853931</v>
      </c>
      <c r="G62" s="18" t="n">
        <v>51.24087271</v>
      </c>
      <c r="H62" s="20" t="n">
        <v>3.07853931</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(2422.0/B66*100)</f>
        <v/>
      </c>
      <c r="D66" s="19" t="n">
        <v>349</v>
      </c>
      <c r="E66" s="18" t="n">
        <v>70.36186970999999</v>
      </c>
      <c r="F66" s="20" t="n">
        <v>2.38760641</v>
      </c>
      <c r="G66" s="18" t="n">
        <v>21.18720373</v>
      </c>
      <c r="H66" s="20" t="n">
        <v>2.04917736</v>
      </c>
      <c r="I66" s="18" t="s">
        <v>349</v>
      </c>
      <c r="J66" s="20" t="s">
        <v>349</v>
      </c>
      <c r="K66" s="18" t="n">
        <v>0.24821674</v>
      </c>
      <c r="L66" s="20" t="n">
        <v>0.24905998</v>
      </c>
      <c r="M66" s="18" t="n">
        <v>0</v>
      </c>
      <c r="N66" s="20" t="n">
        <v>0</v>
      </c>
      <c r="O66" s="18" t="n">
        <v>0</v>
      </c>
      <c r="P66" s="20" t="n">
        <v>0</v>
      </c>
      <c r="Q66" s="18" t="n">
        <v>8.20270981</v>
      </c>
      <c r="R66" s="20" t="n">
        <v>1.47159422</v>
      </c>
    </row>
    <row r="67" spans="1:18">
      <c r="A67" s="15" t="s">
        <v>409</v>
      </c>
      <c r="B67" s="17" t="n">
        <v>3460</v>
      </c>
      <c r="C67" s="18">
        <f>(3084.0/B67*100)</f>
        <v/>
      </c>
      <c r="D67" s="19" t="n">
        <v>376</v>
      </c>
      <c r="E67" s="18" t="n">
        <v>71.8808452</v>
      </c>
      <c r="F67" s="20" t="n">
        <v>2.5014193</v>
      </c>
      <c r="G67" s="18" t="n">
        <v>24.64858521</v>
      </c>
      <c r="H67" s="20" t="n">
        <v>2.50527236</v>
      </c>
      <c r="I67" s="18" t="s">
        <v>349</v>
      </c>
      <c r="J67" s="20" t="s">
        <v>349</v>
      </c>
      <c r="K67" s="18" t="n">
        <v>0.21054014</v>
      </c>
      <c r="L67" s="20" t="n">
        <v>0.21625034</v>
      </c>
      <c r="M67" s="18" t="n">
        <v>0</v>
      </c>
      <c r="N67" s="20" t="n">
        <v>0</v>
      </c>
      <c r="O67" s="18" t="n">
        <v>0</v>
      </c>
      <c r="P67" s="20" t="n">
        <v>0</v>
      </c>
      <c r="Q67" s="18" t="n">
        <v>3.26002944</v>
      </c>
      <c r="R67" s="20" t="n">
        <v>1.12371445</v>
      </c>
    </row>
    <row r="68" spans="1:18">
      <c r="A68" s="15" t="s">
        <v>410</v>
      </c>
      <c r="B68" s="17" t="n">
        <v>6034</v>
      </c>
      <c r="C68" s="18">
        <f>(5026.0/B68*100)</f>
        <v/>
      </c>
      <c r="D68" s="19" t="n">
        <v>1008</v>
      </c>
      <c r="E68" s="18" t="n">
        <v>70.53293821</v>
      </c>
      <c r="F68" s="20" t="n">
        <v>1.36931414</v>
      </c>
      <c r="G68" s="18" t="n">
        <v>24.44014452</v>
      </c>
      <c r="H68" s="20" t="n">
        <v>1.24297593</v>
      </c>
      <c r="I68" s="18" t="s">
        <v>349</v>
      </c>
      <c r="J68" s="20" t="s">
        <v>349</v>
      </c>
      <c r="K68" s="18" t="n">
        <v>2.65994845</v>
      </c>
      <c r="L68" s="20" t="n">
        <v>0.51620157</v>
      </c>
      <c r="M68" s="18" t="n">
        <v>0</v>
      </c>
      <c r="N68" s="20" t="n">
        <v>0</v>
      </c>
      <c r="O68" s="18" t="n">
        <v>0</v>
      </c>
      <c r="P68" s="20" t="n">
        <v>0</v>
      </c>
      <c r="Q68" s="18" t="n">
        <v>2.36696882</v>
      </c>
      <c r="R68" s="20" t="n">
        <v>0.47304905</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(2729.0/B70*100)</f>
        <v/>
      </c>
      <c r="D70" s="19" t="n">
        <v>378</v>
      </c>
      <c r="E70" s="18" t="n">
        <v>53.58822721</v>
      </c>
      <c r="F70" s="20" t="n">
        <v>3.02880484</v>
      </c>
      <c r="G70" s="18" t="n">
        <v>41.95522485</v>
      </c>
      <c r="H70" s="20" t="n">
        <v>3.15850786</v>
      </c>
      <c r="I70" s="18" t="s">
        <v>349</v>
      </c>
      <c r="J70" s="20" t="s">
        <v>349</v>
      </c>
      <c r="K70" s="18" t="n">
        <v>0.47277037</v>
      </c>
      <c r="L70" s="20" t="n">
        <v>0.28466507</v>
      </c>
      <c r="M70" s="18" t="n">
        <v>0</v>
      </c>
      <c r="N70" s="20" t="n">
        <v>0</v>
      </c>
      <c r="O70" s="18" t="n">
        <v>0</v>
      </c>
      <c r="P70" s="20" t="n">
        <v>0</v>
      </c>
      <c r="Q70" s="18" t="n">
        <v>3.98377757</v>
      </c>
      <c r="R70" s="20" t="n">
        <v>1.13200862</v>
      </c>
    </row>
    <row r="71" spans="1:18">
      <c r="A71" s="15" t="s">
        <v>413</v>
      </c>
      <c r="B71" s="17" t="n">
        <v>2973</v>
      </c>
      <c r="C71" s="18">
        <f>(2627.0/B71*100)</f>
        <v/>
      </c>
      <c r="D71" s="19" t="n">
        <v>346</v>
      </c>
      <c r="E71" s="18" t="n">
        <v>40.66850977</v>
      </c>
      <c r="F71" s="20" t="n">
        <v>2.61561496</v>
      </c>
      <c r="G71" s="18" t="n">
        <v>59.04649089</v>
      </c>
      <c r="H71" s="20" t="n">
        <v>2.63059859</v>
      </c>
      <c r="I71" s="18" t="s">
        <v>349</v>
      </c>
      <c r="J71" s="20" t="s">
        <v>349</v>
      </c>
      <c r="K71" s="18" t="n">
        <v>0</v>
      </c>
      <c r="L71" s="20" t="n">
        <v>0</v>
      </c>
      <c r="M71" s="18" t="n">
        <v>0</v>
      </c>
      <c r="N71" s="20" t="n">
        <v>0</v>
      </c>
      <c r="O71" s="18" t="n">
        <v>0</v>
      </c>
      <c r="P71" s="20" t="n">
        <v>0</v>
      </c>
      <c r="Q71" s="18" t="n">
        <v>0.28499934</v>
      </c>
      <c r="R71" s="20" t="n">
        <v>0.28351655</v>
      </c>
    </row>
    <row r="72" spans="1:18">
      <c r="A72" s="15" t="s">
        <v>414</v>
      </c>
      <c r="B72" s="17" t="n">
        <v>3819</v>
      </c>
      <c r="C72" s="18">
        <f>(3365.0/B72*100)</f>
        <v/>
      </c>
      <c r="D72" s="19" t="n">
        <v>454</v>
      </c>
      <c r="E72" s="18" t="n">
        <v>57.93040964</v>
      </c>
      <c r="F72" s="20" t="n">
        <v>2.81171449</v>
      </c>
      <c r="G72" s="18" t="n">
        <v>41.44492724</v>
      </c>
      <c r="H72" s="20" t="n">
        <v>2.81835803</v>
      </c>
      <c r="I72" s="18" t="s">
        <v>349</v>
      </c>
      <c r="J72" s="20" t="s">
        <v>349</v>
      </c>
      <c r="K72" s="18" t="n">
        <v>0.29083467</v>
      </c>
      <c r="L72" s="20" t="n">
        <v>0.28984997</v>
      </c>
      <c r="M72" s="18" t="n">
        <v>0</v>
      </c>
      <c r="N72" s="20" t="n">
        <v>0</v>
      </c>
      <c r="O72" s="18" t="n">
        <v>0</v>
      </c>
      <c r="P72" s="20" t="n">
        <v>0</v>
      </c>
      <c r="Q72" s="18" t="n">
        <v>0.33382845</v>
      </c>
      <c r="R72" s="20" t="n">
        <v>0.21920332</v>
      </c>
    </row>
    <row r="73" spans="1:18">
      <c r="A73" s="15" t="s">
        <v>415</v>
      </c>
      <c r="B73" s="17" t="n">
        <v>4652</v>
      </c>
      <c r="C73" s="18">
        <f>(4089.0/B73*100)</f>
        <v/>
      </c>
      <c r="D73" s="19" t="n">
        <v>563</v>
      </c>
      <c r="E73" s="18" t="n">
        <v>78.01827779</v>
      </c>
      <c r="F73" s="20" t="n">
        <v>2.11538327</v>
      </c>
      <c r="G73" s="18" t="n">
        <v>21.38526849</v>
      </c>
      <c r="H73" s="20" t="n">
        <v>2.11471526</v>
      </c>
      <c r="I73" s="18" t="s">
        <v>349</v>
      </c>
      <c r="J73" s="20" t="s">
        <v>349</v>
      </c>
      <c r="K73" s="18" t="n">
        <v>0.07233914</v>
      </c>
      <c r="L73" s="20" t="n">
        <v>0.06816823</v>
      </c>
      <c r="M73" s="18" t="n">
        <v>0</v>
      </c>
      <c r="N73" s="20" t="n">
        <v>0</v>
      </c>
      <c r="O73" s="18" t="n">
        <v>0</v>
      </c>
      <c r="P73" s="20" t="n">
        <v>0</v>
      </c>
      <c r="Q73" s="18" t="n">
        <v>0.52411458</v>
      </c>
      <c r="R73" s="20" t="n">
        <v>0.35749183</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(2648.0/B75*100)</f>
        <v/>
      </c>
      <c r="D75" s="19" t="n">
        <v>321</v>
      </c>
      <c r="E75" s="18" t="n">
        <v>77.22082023</v>
      </c>
      <c r="F75" s="20" t="n">
        <v>2.72949607</v>
      </c>
      <c r="G75" s="18" t="n">
        <v>15.01483537</v>
      </c>
      <c r="H75" s="20" t="n">
        <v>1.99824823</v>
      </c>
      <c r="I75" s="18" t="s">
        <v>349</v>
      </c>
      <c r="J75" s="20" t="s">
        <v>349</v>
      </c>
      <c r="K75" s="18" t="n">
        <v>3.49425995</v>
      </c>
      <c r="L75" s="20" t="n">
        <v>1.07895633</v>
      </c>
      <c r="M75" s="18" t="n">
        <v>0</v>
      </c>
      <c r="N75" s="20" t="n">
        <v>0</v>
      </c>
      <c r="O75" s="18" t="n">
        <v>0</v>
      </c>
      <c r="P75" s="20" t="n">
        <v>0</v>
      </c>
      <c r="Q75" s="18" t="n">
        <v>4.27008445</v>
      </c>
      <c r="R75" s="20" t="n">
        <v>1.23410182</v>
      </c>
    </row>
    <row r="76" spans="1:18">
      <c r="A76" s="15" t="s">
        <v>418</v>
      </c>
      <c r="B76" s="17" t="n">
        <v>7115</v>
      </c>
      <c r="C76" s="18">
        <f>(6258.0/B76*100)</f>
        <v/>
      </c>
      <c r="D76" s="19" t="n">
        <v>857</v>
      </c>
      <c r="E76" s="18" t="n">
        <v>69.77657275</v>
      </c>
      <c r="F76" s="20" t="n">
        <v>1.81934492</v>
      </c>
      <c r="G76" s="18" t="n">
        <v>28.37949472</v>
      </c>
      <c r="H76" s="20" t="n">
        <v>1.88110563</v>
      </c>
      <c r="I76" s="18" t="s">
        <v>349</v>
      </c>
      <c r="J76" s="20" t="s">
        <v>349</v>
      </c>
      <c r="K76" s="18" t="n">
        <v>0.59065162</v>
      </c>
      <c r="L76" s="20" t="n">
        <v>0.2942372</v>
      </c>
      <c r="M76" s="18" t="n">
        <v>0</v>
      </c>
      <c r="N76" s="20" t="n">
        <v>0</v>
      </c>
      <c r="O76" s="18" t="n">
        <v>0</v>
      </c>
      <c r="P76" s="20" t="n">
        <v>0</v>
      </c>
      <c r="Q76" s="18" t="n">
        <v>1.25328091</v>
      </c>
      <c r="R76" s="20" t="n">
        <v>0.44719471</v>
      </c>
    </row>
    <row r="77" spans="1:18">
      <c r="A77" s="15" t="s">
        <v>419</v>
      </c>
      <c r="B77" s="17" t="n">
        <v>3154</v>
      </c>
      <c r="C77" s="18">
        <f>(2804.0/B77*100)</f>
        <v/>
      </c>
      <c r="D77" s="19" t="n">
        <v>350</v>
      </c>
      <c r="E77" s="18" t="n">
        <v>68.47396465</v>
      </c>
      <c r="F77" s="20" t="n">
        <v>2.33855053</v>
      </c>
      <c r="G77" s="18" t="n">
        <v>23.31554664</v>
      </c>
      <c r="H77" s="20" t="n">
        <v>1.73831507</v>
      </c>
      <c r="I77" s="18" t="s">
        <v>349</v>
      </c>
      <c r="J77" s="20" t="s">
        <v>349</v>
      </c>
      <c r="K77" s="18" t="n">
        <v>1.32731807</v>
      </c>
      <c r="L77" s="20" t="n">
        <v>0.54111897</v>
      </c>
      <c r="M77" s="18" t="n">
        <v>0</v>
      </c>
      <c r="N77" s="20" t="n">
        <v>0</v>
      </c>
      <c r="O77" s="18" t="n">
        <v>0</v>
      </c>
      <c r="P77" s="20" t="n">
        <v>0</v>
      </c>
      <c r="Q77" s="18" t="n">
        <v>6.88317063</v>
      </c>
      <c r="R77" s="20" t="n">
        <v>1.54606719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(4126.0/B81*100)</f>
        <v/>
      </c>
      <c r="D81" s="19" t="n">
        <v>572</v>
      </c>
      <c r="E81" s="18" t="n">
        <v>73.10124218</v>
      </c>
      <c r="F81" s="20" t="n">
        <v>2.32301522</v>
      </c>
      <c r="G81" s="18" t="n">
        <v>26.41283874</v>
      </c>
      <c r="H81" s="20" t="n">
        <v>2.23928833</v>
      </c>
      <c r="I81" s="18" t="s">
        <v>349</v>
      </c>
      <c r="J81" s="20" t="s">
        <v>349</v>
      </c>
      <c r="K81" s="18" t="n">
        <v>0.23846978</v>
      </c>
      <c r="L81" s="20" t="n">
        <v>0.23680028</v>
      </c>
      <c r="M81" s="18" t="n">
        <v>0</v>
      </c>
      <c r="N81" s="20" t="n">
        <v>0</v>
      </c>
      <c r="O81" s="18" t="n">
        <v>0</v>
      </c>
      <c r="P81" s="20" t="n">
        <v>0</v>
      </c>
      <c r="Q81" s="18" t="n">
        <v>0.24744929</v>
      </c>
      <c r="R81" s="20" t="n">
        <v>0.24721711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(6360.0/B7*100)</f>
        <v/>
      </c>
      <c r="D7" s="19" t="n">
        <v>803</v>
      </c>
      <c r="E7" s="18" t="n">
        <v>52.24082569</v>
      </c>
      <c r="F7" s="20" t="n">
        <v>1.95782394</v>
      </c>
      <c r="G7" s="18" t="n">
        <v>46.64177791</v>
      </c>
      <c r="H7" s="20" t="n">
        <v>1.99455865</v>
      </c>
      <c r="I7" s="18" t="s">
        <v>349</v>
      </c>
      <c r="J7" s="20" t="s">
        <v>349</v>
      </c>
      <c r="K7" s="18" t="n">
        <v>1.11739639</v>
      </c>
      <c r="L7" s="20" t="n">
        <v>0.41841738</v>
      </c>
      <c r="M7" s="18" t="n">
        <v>0</v>
      </c>
      <c r="N7" s="20" t="n">
        <v>0</v>
      </c>
      <c r="O7" s="18" t="n">
        <v>0</v>
      </c>
      <c r="P7" s="20" t="n">
        <v>0</v>
      </c>
      <c r="Q7" s="18" t="n">
        <v>0</v>
      </c>
      <c r="R7" s="20" t="n">
        <v>0</v>
      </c>
    </row>
    <row r="8" spans="1:18">
      <c r="A8" s="15" t="s">
        <v>350</v>
      </c>
      <c r="B8" s="17" t="n">
        <v>3443</v>
      </c>
      <c r="C8" s="18">
        <f>(3046.0/B8*100)</f>
        <v/>
      </c>
      <c r="D8" s="19" t="n">
        <v>397</v>
      </c>
      <c r="E8" s="18" t="n">
        <v>52.32853596</v>
      </c>
      <c r="F8" s="20" t="n">
        <v>2.7828219</v>
      </c>
      <c r="G8" s="18" t="n">
        <v>47.21588859</v>
      </c>
      <c r="H8" s="20" t="n">
        <v>2.76241512</v>
      </c>
      <c r="I8" s="18" t="s">
        <v>349</v>
      </c>
      <c r="J8" s="20" t="s">
        <v>349</v>
      </c>
      <c r="K8" s="18" t="n">
        <v>0.12884674</v>
      </c>
      <c r="L8" s="20" t="n">
        <v>0.13158834</v>
      </c>
      <c r="M8" s="18" t="n">
        <v>0</v>
      </c>
      <c r="N8" s="20" t="n">
        <v>0</v>
      </c>
      <c r="O8" s="18" t="n">
        <v>0</v>
      </c>
      <c r="P8" s="20" t="n">
        <v>0</v>
      </c>
      <c r="Q8" s="18" t="n">
        <v>0.32672871</v>
      </c>
      <c r="R8" s="20" t="n">
        <v>0.33259229</v>
      </c>
    </row>
    <row r="9" spans="1:18">
      <c r="A9" s="15" t="s">
        <v>351</v>
      </c>
      <c r="B9" s="17" t="n">
        <v>4752</v>
      </c>
      <c r="C9" s="18">
        <f>(4221.0/B9*100)</f>
        <v/>
      </c>
      <c r="D9" s="19" t="n">
        <v>531</v>
      </c>
      <c r="E9" s="18" t="n">
        <v>41.65788714</v>
      </c>
      <c r="F9" s="20" t="n">
        <v>2.54461178</v>
      </c>
      <c r="G9" s="18" t="n">
        <v>56.74482002</v>
      </c>
      <c r="H9" s="20" t="n">
        <v>2.48152682</v>
      </c>
      <c r="I9" s="18" t="s">
        <v>349</v>
      </c>
      <c r="J9" s="20" t="s">
        <v>349</v>
      </c>
      <c r="K9" s="18" t="n">
        <v>0.89792715</v>
      </c>
      <c r="L9" s="20" t="n">
        <v>0.44372774</v>
      </c>
      <c r="M9" s="18" t="n">
        <v>0</v>
      </c>
      <c r="N9" s="20" t="n">
        <v>0</v>
      </c>
      <c r="O9" s="18" t="n">
        <v>0</v>
      </c>
      <c r="P9" s="20" t="n">
        <v>0</v>
      </c>
      <c r="Q9" s="18" t="n">
        <v>0.69936569</v>
      </c>
      <c r="R9" s="20" t="n">
        <v>0.40092301</v>
      </c>
    </row>
    <row r="10" spans="1:18">
      <c r="A10" s="15" t="s">
        <v>352</v>
      </c>
      <c r="B10" s="17" t="n">
        <v>10022</v>
      </c>
      <c r="C10" s="18">
        <f>(8820.0/B10*100)</f>
        <v/>
      </c>
      <c r="D10" s="19" t="n">
        <v>1202</v>
      </c>
      <c r="E10" s="18" t="n">
        <v>47.60499365</v>
      </c>
      <c r="F10" s="20" t="n">
        <v>2.21782827</v>
      </c>
      <c r="G10" s="18" t="n">
        <v>51.74830643</v>
      </c>
      <c r="H10" s="20" t="n">
        <v>2.21226938</v>
      </c>
      <c r="I10" s="18" t="s">
        <v>349</v>
      </c>
      <c r="J10" s="20" t="s">
        <v>349</v>
      </c>
      <c r="K10" s="18" t="n">
        <v>0.60968055</v>
      </c>
      <c r="L10" s="20" t="n">
        <v>0.34405938</v>
      </c>
      <c r="M10" s="18" t="n">
        <v>0</v>
      </c>
      <c r="N10" s="20" t="n">
        <v>0</v>
      </c>
      <c r="O10" s="18" t="n">
        <v>0</v>
      </c>
      <c r="P10" s="20" t="n">
        <v>0</v>
      </c>
      <c r="Q10" s="18" t="n">
        <v>0.03701937</v>
      </c>
      <c r="R10" s="20" t="n">
        <v>0.02598789</v>
      </c>
    </row>
    <row r="11" spans="1:18">
      <c r="A11" s="15" t="s">
        <v>353</v>
      </c>
      <c r="B11" s="17" t="n">
        <v>3500</v>
      </c>
      <c r="C11" s="18">
        <f>(3097.0/B11*100)</f>
        <v/>
      </c>
      <c r="D11" s="19" t="n">
        <v>403</v>
      </c>
      <c r="E11" s="18" t="n">
        <v>61.73792302</v>
      </c>
      <c r="F11" s="20" t="n">
        <v>2.86112202</v>
      </c>
      <c r="G11" s="18" t="n">
        <v>36.68461551</v>
      </c>
      <c r="H11" s="20" t="n">
        <v>2.78501857</v>
      </c>
      <c r="I11" s="18" t="s">
        <v>349</v>
      </c>
      <c r="J11" s="20" t="s">
        <v>349</v>
      </c>
      <c r="K11" s="18" t="n">
        <v>0.84880226</v>
      </c>
      <c r="L11" s="20" t="n">
        <v>0.45636924</v>
      </c>
      <c r="M11" s="18" t="n">
        <v>0</v>
      </c>
      <c r="N11" s="20" t="n">
        <v>0</v>
      </c>
      <c r="O11" s="18" t="n">
        <v>0</v>
      </c>
      <c r="P11" s="20" t="n">
        <v>0</v>
      </c>
      <c r="Q11" s="18" t="n">
        <v>0.72865921</v>
      </c>
      <c r="R11" s="20" t="n">
        <v>0.7155672</v>
      </c>
    </row>
    <row r="12" spans="1:18">
      <c r="A12" s="15" t="s">
        <v>354</v>
      </c>
      <c r="B12" s="17" t="n">
        <v>3422</v>
      </c>
      <c r="C12" s="18">
        <f>(2992.0/B12*100)</f>
        <v/>
      </c>
      <c r="D12" s="19" t="n">
        <v>430</v>
      </c>
      <c r="E12" s="18" t="n">
        <v>43.89201906</v>
      </c>
      <c r="F12" s="20" t="n">
        <v>2.46520869</v>
      </c>
      <c r="G12" s="18" t="n">
        <v>55.58877427</v>
      </c>
      <c r="H12" s="20" t="n">
        <v>2.50774793</v>
      </c>
      <c r="I12" s="18" t="s">
        <v>349</v>
      </c>
      <c r="J12" s="20" t="s">
        <v>349</v>
      </c>
      <c r="K12" s="18" t="n">
        <v>0</v>
      </c>
      <c r="L12" s="20" t="n">
        <v>0</v>
      </c>
      <c r="M12" s="18" t="n">
        <v>0</v>
      </c>
      <c r="N12" s="20" t="n">
        <v>0</v>
      </c>
      <c r="O12" s="18" t="n">
        <v>0</v>
      </c>
      <c r="P12" s="20" t="n">
        <v>0</v>
      </c>
      <c r="Q12" s="18" t="n">
        <v>0.51920667</v>
      </c>
      <c r="R12" s="20" t="n">
        <v>0.3833986</v>
      </c>
    </row>
    <row r="13" spans="1:18">
      <c r="A13" s="15" t="s">
        <v>355</v>
      </c>
      <c r="B13" s="17" t="n">
        <v>3602</v>
      </c>
      <c r="C13" s="18">
        <f>(3183.0/B13*100)</f>
        <v/>
      </c>
      <c r="D13" s="19" t="n">
        <v>419</v>
      </c>
      <c r="E13" s="18" t="n">
        <v>49.6745249</v>
      </c>
      <c r="F13" s="20" t="n">
        <v>3.17384007</v>
      </c>
      <c r="G13" s="18" t="n">
        <v>49.33092914</v>
      </c>
      <c r="H13" s="20" t="n">
        <v>3.22270061</v>
      </c>
      <c r="I13" s="18" t="s">
        <v>349</v>
      </c>
      <c r="J13" s="20" t="s">
        <v>349</v>
      </c>
      <c r="K13" s="18" t="n">
        <v>0.99454595</v>
      </c>
      <c r="L13" s="20" t="n">
        <v>0.64714564</v>
      </c>
      <c r="M13" s="18" t="n">
        <v>0</v>
      </c>
      <c r="N13" s="20" t="n">
        <v>0</v>
      </c>
      <c r="O13" s="18" t="n">
        <v>0</v>
      </c>
      <c r="P13" s="20" t="n">
        <v>0</v>
      </c>
      <c r="Q13" s="18" t="n">
        <v>0</v>
      </c>
      <c r="R13" s="20" t="n">
        <v>0</v>
      </c>
    </row>
    <row r="14" spans="1:18">
      <c r="A14" s="15" t="s">
        <v>356</v>
      </c>
      <c r="B14" s="17" t="n">
        <v>2788</v>
      </c>
      <c r="C14" s="18">
        <f>(2444.0/B14*100)</f>
        <v/>
      </c>
      <c r="D14" s="19" t="n">
        <v>344</v>
      </c>
      <c r="E14" s="18" t="n">
        <v>50.53642506</v>
      </c>
      <c r="F14" s="20" t="n">
        <v>2.84498314</v>
      </c>
      <c r="G14" s="18" t="n">
        <v>47.86552559</v>
      </c>
      <c r="H14" s="20" t="n">
        <v>2.77396113</v>
      </c>
      <c r="I14" s="18" t="s">
        <v>349</v>
      </c>
      <c r="J14" s="20" t="s">
        <v>349</v>
      </c>
      <c r="K14" s="18" t="n">
        <v>1.12398052</v>
      </c>
      <c r="L14" s="20" t="n">
        <v>0.5713331699999999</v>
      </c>
      <c r="M14" s="18" t="n">
        <v>0</v>
      </c>
      <c r="N14" s="20" t="n">
        <v>0</v>
      </c>
      <c r="O14" s="18" t="n">
        <v>0</v>
      </c>
      <c r="P14" s="20" t="n">
        <v>0</v>
      </c>
      <c r="Q14" s="18" t="n">
        <v>0.47406883</v>
      </c>
      <c r="R14" s="20" t="n">
        <v>0.27764061</v>
      </c>
    </row>
    <row r="15" spans="1:18">
      <c r="A15" s="15" t="s">
        <v>357</v>
      </c>
      <c r="B15" s="17" t="n">
        <v>2863</v>
      </c>
      <c r="C15" s="18">
        <f>(2512.0/B15*100)</f>
        <v/>
      </c>
      <c r="D15" s="19" t="n">
        <v>351</v>
      </c>
      <c r="E15" s="18" t="n">
        <v>44.844793</v>
      </c>
      <c r="F15" s="20" t="n">
        <v>2.63317555</v>
      </c>
      <c r="G15" s="18" t="n">
        <v>54.11528472</v>
      </c>
      <c r="H15" s="20" t="n">
        <v>2.61255089</v>
      </c>
      <c r="I15" s="18" t="s">
        <v>349</v>
      </c>
      <c r="J15" s="20" t="s">
        <v>349</v>
      </c>
      <c r="K15" s="18" t="n">
        <v>0.78079438</v>
      </c>
      <c r="L15" s="20" t="n">
        <v>0.2810485</v>
      </c>
      <c r="M15" s="18" t="n">
        <v>0</v>
      </c>
      <c r="N15" s="20" t="n">
        <v>0</v>
      </c>
      <c r="O15" s="18" t="n">
        <v>0</v>
      </c>
      <c r="P15" s="20" t="n">
        <v>0</v>
      </c>
      <c r="Q15" s="18" t="n">
        <v>0.2591279</v>
      </c>
      <c r="R15" s="20" t="n">
        <v>0.25888858</v>
      </c>
    </row>
    <row r="16" spans="1:18">
      <c r="A16" s="15" t="s">
        <v>358</v>
      </c>
      <c r="B16" s="17" t="n">
        <v>3111</v>
      </c>
      <c r="C16" s="18">
        <f>(2731.0/B16*100)</f>
        <v/>
      </c>
      <c r="D16" s="19" t="n">
        <v>380</v>
      </c>
      <c r="E16" s="18" t="n">
        <v>55.78066089</v>
      </c>
      <c r="F16" s="20" t="n">
        <v>2.60755506</v>
      </c>
      <c r="G16" s="18" t="n">
        <v>43.2435614</v>
      </c>
      <c r="H16" s="20" t="n">
        <v>2.61826338</v>
      </c>
      <c r="I16" s="18" t="s">
        <v>349</v>
      </c>
      <c r="J16" s="20" t="s">
        <v>349</v>
      </c>
      <c r="K16" s="18" t="n">
        <v>0.97577771</v>
      </c>
      <c r="L16" s="20" t="n">
        <v>0.52084195</v>
      </c>
      <c r="M16" s="18" t="n">
        <v>0</v>
      </c>
      <c r="N16" s="20" t="n">
        <v>0</v>
      </c>
      <c r="O16" s="18" t="n">
        <v>0</v>
      </c>
      <c r="P16" s="20" t="n">
        <v>0</v>
      </c>
      <c r="Q16" s="18" t="n">
        <v>0</v>
      </c>
      <c r="R16" s="20" t="n">
        <v>0</v>
      </c>
    </row>
    <row r="17" spans="1:18">
      <c r="A17" s="15" t="s">
        <v>359</v>
      </c>
      <c r="B17" s="17" t="n">
        <v>3197</v>
      </c>
      <c r="C17" s="18">
        <f>(2827.0/B17*100)</f>
        <v/>
      </c>
      <c r="D17" s="19" t="n">
        <v>370</v>
      </c>
      <c r="E17" s="18" t="n">
        <v>47.01650996</v>
      </c>
      <c r="F17" s="20" t="n">
        <v>2.75266308</v>
      </c>
      <c r="G17" s="18" t="n">
        <v>52.75982291</v>
      </c>
      <c r="H17" s="20" t="n">
        <v>2.74574864</v>
      </c>
      <c r="I17" s="18" t="s">
        <v>349</v>
      </c>
      <c r="J17" s="20" t="s">
        <v>349</v>
      </c>
      <c r="K17" s="18" t="n">
        <v>0.22366714</v>
      </c>
      <c r="L17" s="20" t="n">
        <v>0.15594015</v>
      </c>
      <c r="M17" s="18" t="n">
        <v>0</v>
      </c>
      <c r="N17" s="20" t="n">
        <v>0</v>
      </c>
      <c r="O17" s="18" t="n">
        <v>0</v>
      </c>
      <c r="P17" s="20" t="n">
        <v>0</v>
      </c>
      <c r="Q17" s="18" t="n">
        <v>0</v>
      </c>
      <c r="R17" s="20" t="n">
        <v>0</v>
      </c>
    </row>
    <row r="18" spans="1:18">
      <c r="A18" s="15" t="s">
        <v>360</v>
      </c>
      <c r="B18" s="17" t="n">
        <v>2706</v>
      </c>
      <c r="C18" s="18">
        <f>(2343.0/B18*100)</f>
        <v/>
      </c>
      <c r="D18" s="19" t="n">
        <v>363</v>
      </c>
      <c r="E18" s="18" t="n">
        <v>60.9718207</v>
      </c>
      <c r="F18" s="20" t="n">
        <v>2.84469481</v>
      </c>
      <c r="G18" s="18" t="n">
        <v>37.6367777</v>
      </c>
      <c r="H18" s="20" t="n">
        <v>2.86491222</v>
      </c>
      <c r="I18" s="18" t="s">
        <v>349</v>
      </c>
      <c r="J18" s="20" t="s">
        <v>349</v>
      </c>
      <c r="K18" s="18" t="n">
        <v>1.02843008</v>
      </c>
      <c r="L18" s="20" t="n">
        <v>0.76005329</v>
      </c>
      <c r="M18" s="18" t="n">
        <v>0</v>
      </c>
      <c r="N18" s="20" t="n">
        <v>0</v>
      </c>
      <c r="O18" s="18" t="n">
        <v>0</v>
      </c>
      <c r="P18" s="20" t="n">
        <v>0</v>
      </c>
      <c r="Q18" s="18" t="n">
        <v>0.36297152</v>
      </c>
      <c r="R18" s="20" t="n">
        <v>0.23558068</v>
      </c>
    </row>
    <row r="19" spans="1:18">
      <c r="A19" s="15" t="s">
        <v>361</v>
      </c>
      <c r="B19" s="17" t="n">
        <v>2850</v>
      </c>
      <c r="C19" s="18">
        <f>(2495.0/B19*100)</f>
        <v/>
      </c>
      <c r="D19" s="19" t="n">
        <v>355</v>
      </c>
      <c r="E19" s="18" t="n">
        <v>53.34298033</v>
      </c>
      <c r="F19" s="20" t="n">
        <v>2.44966137</v>
      </c>
      <c r="G19" s="18" t="n">
        <v>46.09237164</v>
      </c>
      <c r="H19" s="20" t="n">
        <v>2.43932067</v>
      </c>
      <c r="I19" s="18" t="s">
        <v>349</v>
      </c>
      <c r="J19" s="20" t="s">
        <v>349</v>
      </c>
      <c r="K19" s="18" t="n">
        <v>0.25956926</v>
      </c>
      <c r="L19" s="20" t="n">
        <v>0.26055705</v>
      </c>
      <c r="M19" s="18" t="n">
        <v>0</v>
      </c>
      <c r="N19" s="20" t="n">
        <v>0</v>
      </c>
      <c r="O19" s="18" t="n">
        <v>0</v>
      </c>
      <c r="P19" s="20" t="n">
        <v>0</v>
      </c>
      <c r="Q19" s="18" t="n">
        <v>0.30507878</v>
      </c>
      <c r="R19" s="20" t="n">
        <v>0.27360956</v>
      </c>
    </row>
    <row r="20" spans="1:18">
      <c r="A20" s="15" t="s">
        <v>362</v>
      </c>
      <c r="B20" s="17" t="n">
        <v>1741</v>
      </c>
      <c r="C20" s="18">
        <f>(1530.0/B20*100)</f>
        <v/>
      </c>
      <c r="D20" s="19" t="n">
        <v>211</v>
      </c>
      <c r="E20" s="18" t="n">
        <v>60.34341152</v>
      </c>
      <c r="F20" s="20" t="n">
        <v>3.27390177</v>
      </c>
      <c r="G20" s="18" t="n">
        <v>38.32424609</v>
      </c>
      <c r="H20" s="20" t="n">
        <v>3.311903</v>
      </c>
      <c r="I20" s="18" t="s">
        <v>349</v>
      </c>
      <c r="J20" s="20" t="s">
        <v>349</v>
      </c>
      <c r="K20" s="18" t="n">
        <v>0.46297394</v>
      </c>
      <c r="L20" s="20" t="n">
        <v>0.46637718</v>
      </c>
      <c r="M20" s="18" t="n">
        <v>0</v>
      </c>
      <c r="N20" s="20" t="n">
        <v>0</v>
      </c>
      <c r="O20" s="18" t="n">
        <v>0</v>
      </c>
      <c r="P20" s="20" t="n">
        <v>0</v>
      </c>
      <c r="Q20" s="18" t="n">
        <v>0.86936844</v>
      </c>
      <c r="R20" s="20" t="n">
        <v>0.60679043</v>
      </c>
    </row>
    <row r="21" spans="1:18">
      <c r="A21" s="15" t="s">
        <v>363</v>
      </c>
      <c r="B21" s="17" t="n">
        <v>2833</v>
      </c>
      <c r="C21" s="18">
        <f>(2349.0/B21*100)</f>
        <v/>
      </c>
      <c r="D21" s="19" t="n">
        <v>484</v>
      </c>
      <c r="E21" s="18" t="n">
        <v>56.55078709</v>
      </c>
      <c r="F21" s="20" t="n">
        <v>2.42616441</v>
      </c>
      <c r="G21" s="18" t="n">
        <v>42.70097216</v>
      </c>
      <c r="H21" s="20" t="n">
        <v>2.44451654</v>
      </c>
      <c r="I21" s="18" t="s">
        <v>349</v>
      </c>
      <c r="J21" s="20" t="s">
        <v>349</v>
      </c>
      <c r="K21" s="18" t="n">
        <v>0.5966117399999999</v>
      </c>
      <c r="L21" s="20" t="n">
        <v>0.33867537</v>
      </c>
      <c r="M21" s="18" t="n">
        <v>0</v>
      </c>
      <c r="N21" s="20" t="n">
        <v>0</v>
      </c>
      <c r="O21" s="18" t="n">
        <v>0</v>
      </c>
      <c r="P21" s="20" t="n">
        <v>0</v>
      </c>
      <c r="Q21" s="18" t="n">
        <v>0.151629</v>
      </c>
      <c r="R21" s="20" t="n">
        <v>0.13792652</v>
      </c>
    </row>
    <row r="22" spans="1:18">
      <c r="A22" s="15" t="s">
        <v>364</v>
      </c>
      <c r="B22" s="17" t="n">
        <v>3667</v>
      </c>
      <c r="C22" s="18">
        <f>(3241.0/B22*100)</f>
        <v/>
      </c>
      <c r="D22" s="19" t="n">
        <v>426</v>
      </c>
      <c r="E22" s="18" t="n">
        <v>49.2006343</v>
      </c>
      <c r="F22" s="20" t="n">
        <v>2.82982281</v>
      </c>
      <c r="G22" s="18" t="n">
        <v>49.68281336</v>
      </c>
      <c r="H22" s="20" t="n">
        <v>2.81984692</v>
      </c>
      <c r="I22" s="18" t="s">
        <v>349</v>
      </c>
      <c r="J22" s="20" t="s">
        <v>349</v>
      </c>
      <c r="K22" s="18" t="n">
        <v>0.6820876</v>
      </c>
      <c r="L22" s="20" t="n">
        <v>0.42200708</v>
      </c>
      <c r="M22" s="18" t="n">
        <v>0</v>
      </c>
      <c r="N22" s="20" t="n">
        <v>0</v>
      </c>
      <c r="O22" s="18" t="n">
        <v>0</v>
      </c>
      <c r="P22" s="20" t="n">
        <v>0</v>
      </c>
      <c r="Q22" s="18" t="n">
        <v>0.43446475</v>
      </c>
      <c r="R22" s="20" t="n">
        <v>0.30743967</v>
      </c>
    </row>
    <row r="23" spans="1:18">
      <c r="A23" s="15" t="s">
        <v>365</v>
      </c>
      <c r="B23" s="17" t="n">
        <v>5792</v>
      </c>
      <c r="C23" s="18">
        <f>(5075.0/B23*100)</f>
        <v/>
      </c>
      <c r="D23" s="19" t="n">
        <v>717</v>
      </c>
      <c r="E23" s="18" t="n">
        <v>50.89845466</v>
      </c>
      <c r="F23" s="20" t="n">
        <v>2.61007856</v>
      </c>
      <c r="G23" s="18" t="n">
        <v>48.08723995</v>
      </c>
      <c r="H23" s="20" t="n">
        <v>2.54213892</v>
      </c>
      <c r="I23" s="18" t="s">
        <v>349</v>
      </c>
      <c r="J23" s="20" t="s">
        <v>349</v>
      </c>
      <c r="K23" s="18" t="n">
        <v>0.5308171</v>
      </c>
      <c r="L23" s="20" t="n">
        <v>0.37032432</v>
      </c>
      <c r="M23" s="18" t="n">
        <v>0</v>
      </c>
      <c r="N23" s="20" t="n">
        <v>0</v>
      </c>
      <c r="O23" s="18" t="n">
        <v>0</v>
      </c>
      <c r="P23" s="20" t="n">
        <v>0</v>
      </c>
      <c r="Q23" s="18" t="n">
        <v>0.48348829</v>
      </c>
      <c r="R23" s="20" t="n">
        <v>0.35781265</v>
      </c>
    </row>
    <row r="24" spans="1:18">
      <c r="A24" s="15" t="s">
        <v>366</v>
      </c>
      <c r="B24" s="17" t="n">
        <v>3309</v>
      </c>
      <c r="C24" s="18">
        <f>(2905.0/B24*100)</f>
        <v/>
      </c>
      <c r="D24" s="19" t="n">
        <v>404</v>
      </c>
      <c r="E24" s="18" t="n">
        <v>46.17720575</v>
      </c>
      <c r="F24" s="20" t="n">
        <v>2.37767134</v>
      </c>
      <c r="G24" s="18" t="n">
        <v>53.61556686</v>
      </c>
      <c r="H24" s="20" t="n">
        <v>2.38026279</v>
      </c>
      <c r="I24" s="18" t="s">
        <v>349</v>
      </c>
      <c r="J24" s="20" t="s">
        <v>349</v>
      </c>
      <c r="K24" s="18" t="n">
        <v>0</v>
      </c>
      <c r="L24" s="20" t="n">
        <v>0</v>
      </c>
      <c r="M24" s="18" t="n">
        <v>0</v>
      </c>
      <c r="N24" s="20" t="n">
        <v>0</v>
      </c>
      <c r="O24" s="18" t="n">
        <v>0</v>
      </c>
      <c r="P24" s="20" t="n">
        <v>0</v>
      </c>
      <c r="Q24" s="18" t="n">
        <v>0.20722739</v>
      </c>
      <c r="R24" s="20" t="n">
        <v>0.20762979</v>
      </c>
    </row>
    <row r="25" spans="1:18">
      <c r="A25" s="15" t="s">
        <v>367</v>
      </c>
      <c r="B25" s="17" t="n">
        <v>2669</v>
      </c>
      <c r="C25" s="18">
        <f>(2342.0/B25*100)</f>
        <v/>
      </c>
      <c r="D25" s="19" t="n">
        <v>327</v>
      </c>
      <c r="E25" s="18" t="n">
        <v>38.6108473</v>
      </c>
      <c r="F25" s="20" t="n">
        <v>2.35233884</v>
      </c>
      <c r="G25" s="18" t="n">
        <v>61.11634763</v>
      </c>
      <c r="H25" s="20" t="n">
        <v>2.35437342</v>
      </c>
      <c r="I25" s="18" t="s">
        <v>349</v>
      </c>
      <c r="J25" s="20" t="s">
        <v>349</v>
      </c>
      <c r="K25" s="18" t="n">
        <v>0</v>
      </c>
      <c r="L25" s="20" t="n">
        <v>0</v>
      </c>
      <c r="M25" s="18" t="n">
        <v>0</v>
      </c>
      <c r="N25" s="20" t="n">
        <v>0</v>
      </c>
      <c r="O25" s="18" t="n">
        <v>0</v>
      </c>
      <c r="P25" s="20" t="n">
        <v>0</v>
      </c>
      <c r="Q25" s="18" t="n">
        <v>0.27280507</v>
      </c>
      <c r="R25" s="20" t="n">
        <v>0.27265472</v>
      </c>
    </row>
    <row r="26" spans="1:18">
      <c r="A26" s="15" t="s">
        <v>368</v>
      </c>
      <c r="B26" s="17" t="n">
        <v>2419</v>
      </c>
      <c r="C26" s="18">
        <f>(2123.0/B26*100)</f>
        <v/>
      </c>
      <c r="D26" s="19" t="n">
        <v>296</v>
      </c>
      <c r="E26" s="18" t="n">
        <v>49.5492803</v>
      </c>
      <c r="F26" s="20" t="n">
        <v>2.83872477</v>
      </c>
      <c r="G26" s="18" t="n">
        <v>50.19171962</v>
      </c>
      <c r="H26" s="20" t="n">
        <v>2.79623966</v>
      </c>
      <c r="I26" s="18" t="s">
        <v>349</v>
      </c>
      <c r="J26" s="20" t="s">
        <v>349</v>
      </c>
      <c r="K26" s="18" t="n">
        <v>0.25900008</v>
      </c>
      <c r="L26" s="20" t="n">
        <v>0.35515128</v>
      </c>
      <c r="M26" s="18" t="n">
        <v>0</v>
      </c>
      <c r="N26" s="20" t="n">
        <v>0</v>
      </c>
      <c r="O26" s="18" t="n">
        <v>0</v>
      </c>
      <c r="P26" s="20" t="n">
        <v>0</v>
      </c>
      <c r="Q26" s="18" t="n">
        <v>0</v>
      </c>
      <c r="R26" s="20" t="n">
        <v>0</v>
      </c>
    </row>
    <row r="27" spans="1:18">
      <c r="A27" s="15" t="s">
        <v>369</v>
      </c>
      <c r="B27" s="17" t="n">
        <v>2683</v>
      </c>
      <c r="C27" s="18">
        <f>(2379.0/B27*100)</f>
        <v/>
      </c>
      <c r="D27" s="19" t="n">
        <v>304</v>
      </c>
      <c r="E27" s="18" t="n">
        <v>51.97563081</v>
      </c>
      <c r="F27" s="20" t="n">
        <v>3.19012985</v>
      </c>
      <c r="G27" s="18" t="n">
        <v>48.02436919</v>
      </c>
      <c r="H27" s="20" t="n">
        <v>3.19012985</v>
      </c>
      <c r="I27" s="18" t="s">
        <v>349</v>
      </c>
      <c r="J27" s="20" t="s">
        <v>349</v>
      </c>
      <c r="K27" s="18" t="n">
        <v>0</v>
      </c>
      <c r="L27" s="20" t="n">
        <v>0</v>
      </c>
      <c r="M27" s="18" t="n">
        <v>0</v>
      </c>
      <c r="N27" s="20" t="n">
        <v>0</v>
      </c>
      <c r="O27" s="18" t="n">
        <v>0</v>
      </c>
      <c r="P27" s="20" t="n">
        <v>0</v>
      </c>
      <c r="Q27" s="18" t="n">
        <v>0</v>
      </c>
      <c r="R27" s="20" t="n">
        <v>0</v>
      </c>
    </row>
    <row r="28" spans="1:18">
      <c r="A28" s="15" t="s">
        <v>370</v>
      </c>
      <c r="B28" s="17" t="n">
        <v>3803</v>
      </c>
      <c r="C28" s="18">
        <f>(3374.0/B28*100)</f>
        <v/>
      </c>
      <c r="D28" s="19" t="n">
        <v>429</v>
      </c>
      <c r="E28" s="18" t="n">
        <v>65.28446302</v>
      </c>
      <c r="F28" s="20" t="n">
        <v>3.0505322</v>
      </c>
      <c r="G28" s="18" t="n">
        <v>32.24299495</v>
      </c>
      <c r="H28" s="20" t="n">
        <v>2.79944182</v>
      </c>
      <c r="I28" s="18" t="s">
        <v>349</v>
      </c>
      <c r="J28" s="20" t="s">
        <v>349</v>
      </c>
      <c r="K28" s="18" t="n">
        <v>1.78730838</v>
      </c>
      <c r="L28" s="20" t="n">
        <v>1.18368785</v>
      </c>
      <c r="M28" s="18" t="n">
        <v>0</v>
      </c>
      <c r="N28" s="20" t="n">
        <v>0</v>
      </c>
      <c r="O28" s="18" t="n">
        <v>0</v>
      </c>
      <c r="P28" s="20" t="n">
        <v>0</v>
      </c>
      <c r="Q28" s="18" t="n">
        <v>0.68523365</v>
      </c>
      <c r="R28" s="20" t="n">
        <v>0.39724226</v>
      </c>
    </row>
    <row r="29" spans="1:18">
      <c r="A29" s="15" t="s">
        <v>371</v>
      </c>
      <c r="B29" s="17" t="n">
        <v>2700</v>
      </c>
      <c r="C29" s="18">
        <f>(2367.0/B29*100)</f>
        <v/>
      </c>
      <c r="D29" s="19" t="n">
        <v>333</v>
      </c>
      <c r="E29" s="18" t="n">
        <v>43.96566795</v>
      </c>
      <c r="F29" s="20" t="n">
        <v>2.65554345</v>
      </c>
      <c r="G29" s="18" t="n">
        <v>56.03433205</v>
      </c>
      <c r="H29" s="20" t="n">
        <v>2.65554345</v>
      </c>
      <c r="I29" s="18" t="s">
        <v>349</v>
      </c>
      <c r="J29" s="20" t="s">
        <v>349</v>
      </c>
      <c r="K29" s="18" t="n">
        <v>0</v>
      </c>
      <c r="L29" s="20" t="n">
        <v>0</v>
      </c>
      <c r="M29" s="18" t="n">
        <v>0</v>
      </c>
      <c r="N29" s="20" t="n">
        <v>0</v>
      </c>
      <c r="O29" s="18" t="n">
        <v>0</v>
      </c>
      <c r="P29" s="20" t="n">
        <v>0</v>
      </c>
      <c r="Q29" s="18" t="n">
        <v>0</v>
      </c>
      <c r="R29" s="20" t="n">
        <v>0</v>
      </c>
    </row>
    <row r="30" spans="1:18">
      <c r="A30" s="15" t="s">
        <v>372</v>
      </c>
      <c r="B30" s="17" t="n">
        <v>2257</v>
      </c>
      <c r="C30" s="18">
        <f>(1988.0/B30*100)</f>
        <v/>
      </c>
      <c r="D30" s="19" t="n">
        <v>269</v>
      </c>
      <c r="E30" s="18" t="n">
        <v>57.94806461</v>
      </c>
      <c r="F30" s="20" t="n">
        <v>3.12063854</v>
      </c>
      <c r="G30" s="18" t="n">
        <v>40.32839018</v>
      </c>
      <c r="H30" s="20" t="n">
        <v>3.23164643</v>
      </c>
      <c r="I30" s="18" t="s">
        <v>349</v>
      </c>
      <c r="J30" s="20" t="s">
        <v>349</v>
      </c>
      <c r="K30" s="18" t="n">
        <v>1.72354521</v>
      </c>
      <c r="L30" s="20" t="n">
        <v>0.8670534</v>
      </c>
      <c r="M30" s="18" t="n">
        <v>0</v>
      </c>
      <c r="N30" s="20" t="n">
        <v>0</v>
      </c>
      <c r="O30" s="18" t="n">
        <v>0</v>
      </c>
      <c r="P30" s="20" t="n">
        <v>0</v>
      </c>
      <c r="Q30" s="18" t="n">
        <v>0</v>
      </c>
      <c r="R30" s="20" t="n">
        <v>0</v>
      </c>
    </row>
    <row r="31" spans="1:18">
      <c r="A31" s="15" t="s">
        <v>373</v>
      </c>
      <c r="B31" s="17" t="n">
        <v>2706</v>
      </c>
      <c r="C31" s="18">
        <f>(2373.0/B31*100)</f>
        <v/>
      </c>
      <c r="D31" s="19" t="n">
        <v>333</v>
      </c>
      <c r="E31" s="18" t="n">
        <v>53.68854003</v>
      </c>
      <c r="F31" s="20" t="n">
        <v>2.64847082</v>
      </c>
      <c r="G31" s="18" t="n">
        <v>44.68959954</v>
      </c>
      <c r="H31" s="20" t="n">
        <v>2.77057879</v>
      </c>
      <c r="I31" s="18" t="s">
        <v>349</v>
      </c>
      <c r="J31" s="20" t="s">
        <v>349</v>
      </c>
      <c r="K31" s="18" t="n">
        <v>1.01698907</v>
      </c>
      <c r="L31" s="20" t="n">
        <v>0.5267895</v>
      </c>
      <c r="M31" s="18" t="n">
        <v>0</v>
      </c>
      <c r="N31" s="20" t="n">
        <v>0</v>
      </c>
      <c r="O31" s="18" t="n">
        <v>0</v>
      </c>
      <c r="P31" s="20" t="n">
        <v>0</v>
      </c>
      <c r="Q31" s="18" t="n">
        <v>0.60487136</v>
      </c>
      <c r="R31" s="20" t="n">
        <v>0.45440248</v>
      </c>
    </row>
    <row r="32" spans="1:18">
      <c r="A32" s="15" t="s">
        <v>374</v>
      </c>
      <c r="B32" s="17" t="n">
        <v>2209</v>
      </c>
      <c r="C32" s="18">
        <f>(1861.0/B32*100)</f>
        <v/>
      </c>
      <c r="D32" s="19" t="n">
        <v>348</v>
      </c>
      <c r="E32" s="18" t="n">
        <v>49.10789284</v>
      </c>
      <c r="F32" s="20" t="n">
        <v>3.37149253</v>
      </c>
      <c r="G32" s="18" t="n">
        <v>50.44292872</v>
      </c>
      <c r="H32" s="20" t="n">
        <v>3.34998134</v>
      </c>
      <c r="I32" s="18" t="s">
        <v>349</v>
      </c>
      <c r="J32" s="20" t="s">
        <v>349</v>
      </c>
      <c r="K32" s="18" t="n">
        <v>0.44917843</v>
      </c>
      <c r="L32" s="20" t="n">
        <v>0.4391572</v>
      </c>
      <c r="M32" s="18" t="n">
        <v>0</v>
      </c>
      <c r="N32" s="20" t="n">
        <v>0</v>
      </c>
      <c r="O32" s="18" t="n">
        <v>0</v>
      </c>
      <c r="P32" s="20" t="n">
        <v>0</v>
      </c>
      <c r="Q32" s="18" t="n">
        <v>0</v>
      </c>
      <c r="R32" s="20" t="n">
        <v>0</v>
      </c>
    </row>
    <row r="33" spans="1:18">
      <c r="A33" s="15" t="s">
        <v>375</v>
      </c>
      <c r="B33" s="17" t="n">
        <v>3651</v>
      </c>
      <c r="C33" s="18">
        <f>(3205.0/B33*100)</f>
        <v/>
      </c>
      <c r="D33" s="19" t="n">
        <v>446</v>
      </c>
      <c r="E33" s="18" t="n">
        <v>55.86796885</v>
      </c>
      <c r="F33" s="20" t="n">
        <v>2.59569068</v>
      </c>
      <c r="G33" s="18" t="n">
        <v>43.80537645</v>
      </c>
      <c r="H33" s="20" t="n">
        <v>2.61999549</v>
      </c>
      <c r="I33" s="18" t="s">
        <v>349</v>
      </c>
      <c r="J33" s="20" t="s">
        <v>349</v>
      </c>
      <c r="K33" s="18" t="n">
        <v>0.3266547</v>
      </c>
      <c r="L33" s="20" t="n">
        <v>0.29189764</v>
      </c>
      <c r="M33" s="18" t="n">
        <v>0</v>
      </c>
      <c r="N33" s="20" t="n">
        <v>0</v>
      </c>
      <c r="O33" s="18" t="n">
        <v>0</v>
      </c>
      <c r="P33" s="20" t="n">
        <v>0</v>
      </c>
      <c r="Q33" s="18" t="n">
        <v>0</v>
      </c>
      <c r="R33" s="20" t="n">
        <v>0</v>
      </c>
    </row>
    <row r="34" spans="1:18">
      <c r="A34" s="15" t="s">
        <v>376</v>
      </c>
      <c r="B34" s="17" t="n">
        <v>3035</v>
      </c>
      <c r="C34" s="18">
        <f>(2699.0/B34*100)</f>
        <v/>
      </c>
      <c r="D34" s="19" t="n">
        <v>336</v>
      </c>
      <c r="E34" s="18" t="n">
        <v>44.32182027</v>
      </c>
      <c r="F34" s="20" t="n">
        <v>2.632775</v>
      </c>
      <c r="G34" s="18" t="n">
        <v>54.93732517</v>
      </c>
      <c r="H34" s="20" t="n">
        <v>2.64471237</v>
      </c>
      <c r="I34" s="18" t="s">
        <v>349</v>
      </c>
      <c r="J34" s="20" t="s">
        <v>349</v>
      </c>
      <c r="K34" s="18" t="n">
        <v>0</v>
      </c>
      <c r="L34" s="20" t="n">
        <v>0</v>
      </c>
      <c r="M34" s="18" t="n">
        <v>0</v>
      </c>
      <c r="N34" s="20" t="n">
        <v>0</v>
      </c>
      <c r="O34" s="18" t="n">
        <v>0</v>
      </c>
      <c r="P34" s="20" t="n">
        <v>0</v>
      </c>
      <c r="Q34" s="18" t="n">
        <v>0.7408545600000001</v>
      </c>
      <c r="R34" s="20" t="n">
        <v>0.41972644</v>
      </c>
    </row>
    <row r="35" spans="1:18">
      <c r="A35" s="15" t="s">
        <v>377</v>
      </c>
      <c r="B35" s="17" t="n">
        <v>2901</v>
      </c>
      <c r="C35" s="18">
        <f>(2568.0/B35*100)</f>
        <v/>
      </c>
      <c r="D35" s="19" t="n">
        <v>333</v>
      </c>
      <c r="E35" s="18" t="n">
        <v>47.93193554</v>
      </c>
      <c r="F35" s="20" t="n">
        <v>3.2519055</v>
      </c>
      <c r="G35" s="18" t="n">
        <v>51.92610549</v>
      </c>
      <c r="H35" s="20" t="n">
        <v>3.25899698</v>
      </c>
      <c r="I35" s="18" t="s">
        <v>349</v>
      </c>
      <c r="J35" s="20" t="s">
        <v>349</v>
      </c>
      <c r="K35" s="18" t="n">
        <v>0.14195897</v>
      </c>
      <c r="L35" s="20" t="n">
        <v>0.14336287</v>
      </c>
      <c r="M35" s="18" t="n">
        <v>0</v>
      </c>
      <c r="N35" s="20" t="n">
        <v>0</v>
      </c>
      <c r="O35" s="18" t="n">
        <v>0</v>
      </c>
      <c r="P35" s="20" t="n">
        <v>0</v>
      </c>
      <c r="Q35" s="18" t="n">
        <v>0</v>
      </c>
      <c r="R35" s="20" t="n">
        <v>0</v>
      </c>
    </row>
    <row r="36" spans="1:18">
      <c r="A36" s="15" t="s">
        <v>378</v>
      </c>
      <c r="B36" s="17" t="n">
        <v>3404</v>
      </c>
      <c r="C36" s="18">
        <f>(3012.0/B36*100)</f>
        <v/>
      </c>
      <c r="D36" s="19" t="n">
        <v>392</v>
      </c>
      <c r="E36" s="18" t="n">
        <v>53.03148946</v>
      </c>
      <c r="F36" s="20" t="n">
        <v>2.69789812</v>
      </c>
      <c r="G36" s="18" t="n">
        <v>46.35699758</v>
      </c>
      <c r="H36" s="20" t="n">
        <v>2.77600853</v>
      </c>
      <c r="I36" s="18" t="s">
        <v>349</v>
      </c>
      <c r="J36" s="20" t="s">
        <v>349</v>
      </c>
      <c r="K36" s="18" t="n">
        <v>0.61151296</v>
      </c>
      <c r="L36" s="20" t="n">
        <v>0.42211997</v>
      </c>
      <c r="M36" s="18" t="n">
        <v>0</v>
      </c>
      <c r="N36" s="20" t="n">
        <v>0</v>
      </c>
      <c r="O36" s="18" t="n">
        <v>0</v>
      </c>
      <c r="P36" s="20" t="n">
        <v>0</v>
      </c>
      <c r="Q36" s="18" t="n">
        <v>0</v>
      </c>
      <c r="R36" s="20" t="n">
        <v>0</v>
      </c>
    </row>
    <row r="37" spans="1:18">
      <c r="A37" s="15" t="s">
        <v>379</v>
      </c>
      <c r="B37" s="17" t="n">
        <v>2731</v>
      </c>
      <c r="C37" s="18">
        <f>(2411.0/B37*100)</f>
        <v/>
      </c>
      <c r="D37" s="19" t="n">
        <v>320</v>
      </c>
      <c r="E37" s="18" t="n">
        <v>46.29819217</v>
      </c>
      <c r="F37" s="20" t="n">
        <v>3.1942997</v>
      </c>
      <c r="G37" s="18" t="n">
        <v>52.47153423</v>
      </c>
      <c r="H37" s="20" t="n">
        <v>3.12480427</v>
      </c>
      <c r="I37" s="18" t="s">
        <v>349</v>
      </c>
      <c r="J37" s="20" t="s">
        <v>349</v>
      </c>
      <c r="K37" s="18" t="n">
        <v>0.93120095</v>
      </c>
      <c r="L37" s="20" t="n">
        <v>0.53438471</v>
      </c>
      <c r="M37" s="18" t="n">
        <v>0</v>
      </c>
      <c r="N37" s="20" t="n">
        <v>0</v>
      </c>
      <c r="O37" s="18" t="n">
        <v>0</v>
      </c>
      <c r="P37" s="20" t="n">
        <v>0</v>
      </c>
      <c r="Q37" s="18" t="n">
        <v>0.29907265</v>
      </c>
      <c r="R37" s="20" t="n">
        <v>0.30369277</v>
      </c>
    </row>
    <row r="38" spans="1:18">
      <c r="A38" s="15" t="s">
        <v>380</v>
      </c>
      <c r="B38" s="17" t="n">
        <v>2807</v>
      </c>
      <c r="C38" s="18">
        <f>(2329.0/B38*100)</f>
        <v/>
      </c>
      <c r="D38" s="19" t="n">
        <v>478</v>
      </c>
      <c r="E38" s="18" t="n">
        <v>40.66239351</v>
      </c>
      <c r="F38" s="20" t="n">
        <v>2.89386629</v>
      </c>
      <c r="G38" s="18" t="n">
        <v>59.00053774</v>
      </c>
      <c r="H38" s="20" t="n">
        <v>2.90595969</v>
      </c>
      <c r="I38" s="18" t="s">
        <v>349</v>
      </c>
      <c r="J38" s="20" t="s">
        <v>349</v>
      </c>
      <c r="K38" s="18" t="n">
        <v>0.33706875</v>
      </c>
      <c r="L38" s="20" t="n">
        <v>0.23760316</v>
      </c>
      <c r="M38" s="18" t="n">
        <v>0</v>
      </c>
      <c r="N38" s="20" t="n">
        <v>0</v>
      </c>
      <c r="O38" s="18" t="n">
        <v>0</v>
      </c>
      <c r="P38" s="20" t="n">
        <v>0</v>
      </c>
      <c r="Q38" s="18" t="n">
        <v>0</v>
      </c>
      <c r="R38" s="20" t="n">
        <v>0</v>
      </c>
    </row>
    <row r="39" spans="1:18">
      <c r="A39" s="15" t="s">
        <v>381</v>
      </c>
      <c r="B39" s="17" t="n">
        <v>2938</v>
      </c>
      <c r="C39" s="18">
        <f>(2577.0/B39*100)</f>
        <v/>
      </c>
      <c r="D39" s="19" t="n">
        <v>361</v>
      </c>
      <c r="E39" s="18" t="n">
        <v>60.17106704</v>
      </c>
      <c r="F39" s="20" t="n">
        <v>2.96505402</v>
      </c>
      <c r="G39" s="18" t="n">
        <v>39.20778297</v>
      </c>
      <c r="H39" s="20" t="n">
        <v>2.92259238</v>
      </c>
      <c r="I39" s="18" t="s">
        <v>349</v>
      </c>
      <c r="J39" s="20" t="s">
        <v>349</v>
      </c>
      <c r="K39" s="18" t="n">
        <v>0.18401634</v>
      </c>
      <c r="L39" s="20" t="n">
        <v>0.18367979</v>
      </c>
      <c r="M39" s="18" t="n">
        <v>0</v>
      </c>
      <c r="N39" s="20" t="n">
        <v>0</v>
      </c>
      <c r="O39" s="18" t="n">
        <v>0</v>
      </c>
      <c r="P39" s="20" t="n">
        <v>0</v>
      </c>
      <c r="Q39" s="18" t="n">
        <v>0.43713364</v>
      </c>
      <c r="R39" s="20" t="n">
        <v>0.40881618</v>
      </c>
    </row>
    <row r="40" spans="1:18">
      <c r="A40" s="15" t="s">
        <v>382</v>
      </c>
      <c r="B40" s="17" t="n">
        <v>6922</v>
      </c>
      <c r="C40" s="18">
        <f>(6093.0/B40*100)</f>
        <v/>
      </c>
      <c r="D40" s="19" t="n">
        <v>829</v>
      </c>
      <c r="E40" s="18" t="n">
        <v>56.6046185</v>
      </c>
      <c r="F40" s="20" t="n">
        <v>3.08946355</v>
      </c>
      <c r="G40" s="18" t="n">
        <v>42.19214687</v>
      </c>
      <c r="H40" s="20" t="n">
        <v>2.9063506</v>
      </c>
      <c r="I40" s="18" t="s">
        <v>349</v>
      </c>
      <c r="J40" s="20" t="s">
        <v>349</v>
      </c>
      <c r="K40" s="18" t="n">
        <v>0.46535481</v>
      </c>
      <c r="L40" s="20" t="n">
        <v>0.46626654</v>
      </c>
      <c r="M40" s="18" t="n">
        <v>0</v>
      </c>
      <c r="N40" s="20" t="n">
        <v>0</v>
      </c>
      <c r="O40" s="18" t="n">
        <v>0</v>
      </c>
      <c r="P40" s="20" t="n">
        <v>0</v>
      </c>
      <c r="Q40" s="18" t="n">
        <v>0.73787982</v>
      </c>
      <c r="R40" s="20" t="n">
        <v>0.5574507</v>
      </c>
    </row>
    <row r="41" spans="1:18">
      <c r="A41" s="15" t="s">
        <v>383</v>
      </c>
      <c r="B41" s="17" t="n">
        <v>2854</v>
      </c>
      <c r="C41" s="18">
        <f>(2517.0/B41*100)</f>
        <v/>
      </c>
      <c r="D41" s="19" t="n">
        <v>337</v>
      </c>
      <c r="E41" s="18" t="n">
        <v>56.34765948</v>
      </c>
      <c r="F41" s="20" t="n">
        <v>2.5729352</v>
      </c>
      <c r="G41" s="18" t="n">
        <v>42.84264285</v>
      </c>
      <c r="H41" s="20" t="n">
        <v>2.41396711</v>
      </c>
      <c r="I41" s="18" t="s">
        <v>349</v>
      </c>
      <c r="J41" s="20" t="s">
        <v>349</v>
      </c>
      <c r="K41" s="18" t="n">
        <v>0.80969768</v>
      </c>
      <c r="L41" s="20" t="n">
        <v>0.52426837</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(10907.0/B46*100)</f>
        <v/>
      </c>
      <c r="D46" s="19" t="n">
        <v>1166</v>
      </c>
      <c r="E46" s="18" t="n">
        <v>67.89972013000001</v>
      </c>
      <c r="F46" s="20" t="n">
        <v>1.90992436</v>
      </c>
      <c r="G46" s="18" t="n">
        <v>30.0533561</v>
      </c>
      <c r="H46" s="20" t="n">
        <v>1.89876786</v>
      </c>
      <c r="I46" s="18" t="s">
        <v>349</v>
      </c>
      <c r="J46" s="20" t="s">
        <v>349</v>
      </c>
      <c r="K46" s="18" t="n">
        <v>1.796668</v>
      </c>
      <c r="L46" s="20" t="n">
        <v>0.59754942</v>
      </c>
      <c r="M46" s="18" t="n">
        <v>0</v>
      </c>
      <c r="N46" s="20" t="n">
        <v>0</v>
      </c>
      <c r="O46" s="18" t="n">
        <v>0</v>
      </c>
      <c r="P46" s="20" t="n">
        <v>0</v>
      </c>
      <c r="Q46" s="18" t="n">
        <v>0.25025576</v>
      </c>
      <c r="R46" s="20" t="n">
        <v>0.15943574</v>
      </c>
    </row>
    <row r="47" spans="1:18">
      <c r="A47" s="15" t="s">
        <v>389</v>
      </c>
      <c r="B47" s="17" t="n">
        <v>2823</v>
      </c>
      <c r="C47" s="18">
        <f>(2483.0/B47*100)</f>
        <v/>
      </c>
      <c r="D47" s="19" t="n">
        <v>340</v>
      </c>
      <c r="E47" s="18" t="n">
        <v>45.85784214</v>
      </c>
      <c r="F47" s="20" t="n">
        <v>2.80181796</v>
      </c>
      <c r="G47" s="18" t="n">
        <v>52.9952563</v>
      </c>
      <c r="H47" s="20" t="n">
        <v>2.74999162</v>
      </c>
      <c r="I47" s="18" t="s">
        <v>349</v>
      </c>
      <c r="J47" s="20" t="s">
        <v>349</v>
      </c>
      <c r="K47" s="18" t="n">
        <v>0.8427810100000001</v>
      </c>
      <c r="L47" s="20" t="n">
        <v>0.56040778</v>
      </c>
      <c r="M47" s="18" t="n">
        <v>0</v>
      </c>
      <c r="N47" s="20" t="n">
        <v>0</v>
      </c>
      <c r="O47" s="18" t="n">
        <v>0</v>
      </c>
      <c r="P47" s="20" t="n">
        <v>0</v>
      </c>
      <c r="Q47" s="18" t="n">
        <v>0.30412055</v>
      </c>
      <c r="R47" s="20" t="n">
        <v>0.30586451</v>
      </c>
    </row>
    <row r="48" spans="1:18">
      <c r="A48" s="15" t="s">
        <v>390</v>
      </c>
      <c r="B48" s="17" t="n">
        <v>4682</v>
      </c>
      <c r="C48" s="18">
        <f>(4113.0/B48*100)</f>
        <v/>
      </c>
      <c r="D48" s="19" t="n">
        <v>569</v>
      </c>
      <c r="E48" s="18" t="n">
        <v>41.07488368</v>
      </c>
      <c r="F48" s="20" t="n">
        <v>2.90740229</v>
      </c>
      <c r="G48" s="18" t="n">
        <v>58.92511632</v>
      </c>
      <c r="H48" s="20" t="n">
        <v>2.90740229</v>
      </c>
      <c r="I48" s="18" t="s">
        <v>349</v>
      </c>
      <c r="J48" s="20" t="s">
        <v>349</v>
      </c>
      <c r="K48" s="18" t="n">
        <v>0</v>
      </c>
      <c r="L48" s="20" t="n">
        <v>0</v>
      </c>
      <c r="M48" s="18" t="n">
        <v>0</v>
      </c>
      <c r="N48" s="20" t="n">
        <v>0</v>
      </c>
      <c r="O48" s="18" t="n">
        <v>0</v>
      </c>
      <c r="P48" s="20" t="n">
        <v>0</v>
      </c>
      <c r="Q48" s="18" t="n">
        <v>0</v>
      </c>
      <c r="R48" s="20" t="n">
        <v>0</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(5418.0/B50*100)</f>
        <v/>
      </c>
      <c r="D50" s="19" t="n">
        <v>740</v>
      </c>
      <c r="E50" s="18" t="n">
        <v>70.66224729</v>
      </c>
      <c r="F50" s="20" t="n">
        <v>2.0614027</v>
      </c>
      <c r="G50" s="18" t="n">
        <v>28.18476549</v>
      </c>
      <c r="H50" s="20" t="n">
        <v>2.0238823</v>
      </c>
      <c r="I50" s="18" t="s">
        <v>349</v>
      </c>
      <c r="J50" s="20" t="s">
        <v>349</v>
      </c>
      <c r="K50" s="18" t="n">
        <v>0.6468773799999999</v>
      </c>
      <c r="L50" s="20" t="n">
        <v>0.33327505</v>
      </c>
      <c r="M50" s="18" t="n">
        <v>0</v>
      </c>
      <c r="N50" s="20" t="n">
        <v>0</v>
      </c>
      <c r="O50" s="18" t="n">
        <v>0</v>
      </c>
      <c r="P50" s="20" t="n">
        <v>0</v>
      </c>
      <c r="Q50" s="18" t="n">
        <v>0.50610984</v>
      </c>
      <c r="R50" s="20" t="n">
        <v>0.26999346</v>
      </c>
    </row>
    <row r="51" spans="1:18">
      <c r="A51" s="15" t="s">
        <v>393</v>
      </c>
      <c r="B51" s="17" t="n">
        <v>3494</v>
      </c>
      <c r="C51" s="18">
        <f>(3113.0/B51*100)</f>
        <v/>
      </c>
      <c r="D51" s="19" t="n">
        <v>381</v>
      </c>
      <c r="E51" s="18" t="n">
        <v>71.97443618</v>
      </c>
      <c r="F51" s="20" t="n">
        <v>2.39147566</v>
      </c>
      <c r="G51" s="18" t="n">
        <v>27.43390886</v>
      </c>
      <c r="H51" s="20" t="n">
        <v>2.3337309</v>
      </c>
      <c r="I51" s="18" t="s">
        <v>349</v>
      </c>
      <c r="J51" s="20" t="s">
        <v>349</v>
      </c>
      <c r="K51" s="18" t="n">
        <v>0.46859519</v>
      </c>
      <c r="L51" s="20" t="n">
        <v>0.3112404</v>
      </c>
      <c r="M51" s="18" t="n">
        <v>0</v>
      </c>
      <c r="N51" s="20" t="n">
        <v>0</v>
      </c>
      <c r="O51" s="18" t="n">
        <v>0</v>
      </c>
      <c r="P51" s="20" t="n">
        <v>0</v>
      </c>
      <c r="Q51" s="18" t="n">
        <v>0.12305977</v>
      </c>
      <c r="R51" s="20" t="n">
        <v>0.1282349</v>
      </c>
    </row>
    <row r="52" spans="1:18">
      <c r="A52" s="15" t="s">
        <v>394</v>
      </c>
      <c r="B52" s="17" t="n">
        <v>3013</v>
      </c>
      <c r="C52" s="18">
        <f>(2637.0/B52*100)</f>
        <v/>
      </c>
      <c r="D52" s="19" t="n">
        <v>376</v>
      </c>
      <c r="E52" s="18" t="n">
        <v>63.01700903</v>
      </c>
      <c r="F52" s="20" t="n">
        <v>2.75460397</v>
      </c>
      <c r="G52" s="18" t="n">
        <v>36.31356657</v>
      </c>
      <c r="H52" s="20" t="n">
        <v>2.72661276</v>
      </c>
      <c r="I52" s="18" t="s">
        <v>349</v>
      </c>
      <c r="J52" s="20" t="s">
        <v>349</v>
      </c>
      <c r="K52" s="18" t="n">
        <v>0.20992768</v>
      </c>
      <c r="L52" s="20" t="n">
        <v>0.20342935</v>
      </c>
      <c r="M52" s="18" t="n">
        <v>0</v>
      </c>
      <c r="N52" s="20" t="n">
        <v>0</v>
      </c>
      <c r="O52" s="18" t="n">
        <v>0</v>
      </c>
      <c r="P52" s="20" t="n">
        <v>0</v>
      </c>
      <c r="Q52" s="18" t="n">
        <v>0.45949672</v>
      </c>
      <c r="R52" s="20" t="n">
        <v>0.3229062</v>
      </c>
    </row>
    <row r="53" spans="1:18">
      <c r="A53" s="15" t="s">
        <v>395</v>
      </c>
      <c r="B53" s="17" t="n">
        <v>2760</v>
      </c>
      <c r="C53" s="18">
        <f>(2412.0/B53*100)</f>
        <v/>
      </c>
      <c r="D53" s="19" t="n">
        <v>348</v>
      </c>
      <c r="E53" s="18" t="n">
        <v>55.60722135</v>
      </c>
      <c r="F53" s="20" t="n">
        <v>2.26202024</v>
      </c>
      <c r="G53" s="18" t="n">
        <v>43.28649461</v>
      </c>
      <c r="H53" s="20" t="n">
        <v>2.34976145</v>
      </c>
      <c r="I53" s="18" t="s">
        <v>349</v>
      </c>
      <c r="J53" s="20" t="s">
        <v>349</v>
      </c>
      <c r="K53" s="18" t="n">
        <v>0.40905681</v>
      </c>
      <c r="L53" s="20" t="n">
        <v>0.2798355</v>
      </c>
      <c r="M53" s="18" t="n">
        <v>0</v>
      </c>
      <c r="N53" s="20" t="n">
        <v>0</v>
      </c>
      <c r="O53" s="18" t="n">
        <v>0</v>
      </c>
      <c r="P53" s="20" t="n">
        <v>0</v>
      </c>
      <c r="Q53" s="18" t="n">
        <v>0.69722723</v>
      </c>
      <c r="R53" s="20" t="n">
        <v>0.49588827</v>
      </c>
    </row>
    <row r="54" spans="1:18">
      <c r="A54" s="15" t="s">
        <v>396</v>
      </c>
      <c r="B54" s="17" t="n">
        <v>2474</v>
      </c>
      <c r="C54" s="18">
        <f>(2083.0/B54*100)</f>
        <v/>
      </c>
      <c r="D54" s="19" t="n">
        <v>391</v>
      </c>
      <c r="E54" s="18" t="n">
        <v>67.91749611</v>
      </c>
      <c r="F54" s="20" t="n">
        <v>2.69038352</v>
      </c>
      <c r="G54" s="18" t="n">
        <v>19.16708793</v>
      </c>
      <c r="H54" s="20" t="n">
        <v>2.26294109</v>
      </c>
      <c r="I54" s="18" t="s">
        <v>349</v>
      </c>
      <c r="J54" s="20" t="s">
        <v>349</v>
      </c>
      <c r="K54" s="18" t="n">
        <v>12.55369601</v>
      </c>
      <c r="L54" s="20" t="n">
        <v>1.95958056</v>
      </c>
      <c r="M54" s="18" t="n">
        <v>0</v>
      </c>
      <c r="N54" s="20" t="n">
        <v>0</v>
      </c>
      <c r="O54" s="18" t="n">
        <v>0</v>
      </c>
      <c r="P54" s="20" t="n">
        <v>0</v>
      </c>
      <c r="Q54" s="18" t="n">
        <v>0.36171995</v>
      </c>
      <c r="R54" s="20" t="n">
        <v>0.27318396</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(2335.0/B56*100)</f>
        <v/>
      </c>
      <c r="D56" s="19" t="n">
        <v>340</v>
      </c>
      <c r="E56" s="18" t="n">
        <v>33.79107361</v>
      </c>
      <c r="F56" s="20" t="n">
        <v>2.2375506</v>
      </c>
      <c r="G56" s="18" t="n">
        <v>65.94024699000001</v>
      </c>
      <c r="H56" s="20" t="n">
        <v>2.33399337</v>
      </c>
      <c r="I56" s="18" t="s">
        <v>349</v>
      </c>
      <c r="J56" s="20" t="s">
        <v>349</v>
      </c>
      <c r="K56" s="18" t="n">
        <v>0.2686794</v>
      </c>
      <c r="L56" s="20" t="n">
        <v>0.29858329</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(2818.0/B61*100)</f>
        <v/>
      </c>
      <c r="D61" s="19" t="n">
        <v>383</v>
      </c>
      <c r="E61" s="18" t="n">
        <v>48.2591655</v>
      </c>
      <c r="F61" s="20" t="n">
        <v>3.00379863</v>
      </c>
      <c r="G61" s="18" t="n">
        <v>51.7408345</v>
      </c>
      <c r="H61" s="20" t="n">
        <v>3.00379863</v>
      </c>
      <c r="I61" s="18" t="s">
        <v>349</v>
      </c>
      <c r="J61" s="20" t="s">
        <v>349</v>
      </c>
      <c r="K61" s="18" t="n">
        <v>0</v>
      </c>
      <c r="L61" s="20" t="n">
        <v>0</v>
      </c>
      <c r="M61" s="18" t="n">
        <v>0</v>
      </c>
      <c r="N61" s="20" t="n">
        <v>0</v>
      </c>
      <c r="O61" s="18" t="n">
        <v>0</v>
      </c>
      <c r="P61" s="20" t="n">
        <v>0</v>
      </c>
      <c r="Q61" s="18" t="n">
        <v>0</v>
      </c>
      <c r="R61" s="20" t="n">
        <v>0</v>
      </c>
    </row>
    <row r="62" spans="1:18">
      <c r="A62" s="15" t="s">
        <v>404</v>
      </c>
      <c r="B62" s="17" t="n">
        <v>2230</v>
      </c>
      <c r="C62" s="18">
        <f>(1948.0/B62*100)</f>
        <v/>
      </c>
      <c r="D62" s="19" t="n">
        <v>282</v>
      </c>
      <c r="E62" s="18" t="n">
        <v>40.84556469</v>
      </c>
      <c r="F62" s="20" t="n">
        <v>2.77185058</v>
      </c>
      <c r="G62" s="18" t="n">
        <v>59.15443531</v>
      </c>
      <c r="H62" s="20" t="n">
        <v>2.77185058</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(2425.0/B66*100)</f>
        <v/>
      </c>
      <c r="D66" s="19" t="n">
        <v>346</v>
      </c>
      <c r="E66" s="18" t="n">
        <v>62.18411024</v>
      </c>
      <c r="F66" s="20" t="n">
        <v>2.55337073</v>
      </c>
      <c r="G66" s="18" t="n">
        <v>36.9924005</v>
      </c>
      <c r="H66" s="20" t="n">
        <v>2.54669159</v>
      </c>
      <c r="I66" s="18" t="s">
        <v>349</v>
      </c>
      <c r="J66" s="20" t="s">
        <v>349</v>
      </c>
      <c r="K66" s="18" t="n">
        <v>0.2504108</v>
      </c>
      <c r="L66" s="20" t="n">
        <v>0.25129583</v>
      </c>
      <c r="M66" s="18" t="n">
        <v>0</v>
      </c>
      <c r="N66" s="20" t="n">
        <v>0</v>
      </c>
      <c r="O66" s="18" t="n">
        <v>0</v>
      </c>
      <c r="P66" s="20" t="n">
        <v>0</v>
      </c>
      <c r="Q66" s="18" t="n">
        <v>0.57307846</v>
      </c>
      <c r="R66" s="20" t="n">
        <v>0.39950317</v>
      </c>
    </row>
    <row r="67" spans="1:18">
      <c r="A67" s="15" t="s">
        <v>409</v>
      </c>
      <c r="B67" s="17" t="n">
        <v>3460</v>
      </c>
      <c r="C67" s="18">
        <f>(3094.0/B67*100)</f>
        <v/>
      </c>
      <c r="D67" s="19" t="n">
        <v>366</v>
      </c>
      <c r="E67" s="18" t="n">
        <v>64.52882273</v>
      </c>
      <c r="F67" s="20" t="n">
        <v>2.43173257</v>
      </c>
      <c r="G67" s="18" t="n">
        <v>34.1855291</v>
      </c>
      <c r="H67" s="20" t="n">
        <v>2.38210778</v>
      </c>
      <c r="I67" s="18" t="s">
        <v>349</v>
      </c>
      <c r="J67" s="20" t="s">
        <v>349</v>
      </c>
      <c r="K67" s="18" t="n">
        <v>0.51889055</v>
      </c>
      <c r="L67" s="20" t="n">
        <v>0.37991042</v>
      </c>
      <c r="M67" s="18" t="n">
        <v>0</v>
      </c>
      <c r="N67" s="20" t="n">
        <v>0</v>
      </c>
      <c r="O67" s="18" t="n">
        <v>0</v>
      </c>
      <c r="P67" s="20" t="n">
        <v>0</v>
      </c>
      <c r="Q67" s="18" t="n">
        <v>0.76675763</v>
      </c>
      <c r="R67" s="20" t="n">
        <v>0.44868037</v>
      </c>
    </row>
    <row r="68" spans="1:18">
      <c r="A68" s="15" t="s">
        <v>410</v>
      </c>
      <c r="B68" s="17" t="n">
        <v>6034</v>
      </c>
      <c r="C68" s="18">
        <f>(5026.0/B68*100)</f>
        <v/>
      </c>
      <c r="D68" s="19" t="n">
        <v>1008</v>
      </c>
      <c r="E68" s="18" t="n">
        <v>62.92600938</v>
      </c>
      <c r="F68" s="20" t="n">
        <v>1.46584957</v>
      </c>
      <c r="G68" s="18" t="n">
        <v>33.73049637</v>
      </c>
      <c r="H68" s="20" t="n">
        <v>1.42739343</v>
      </c>
      <c r="I68" s="18" t="s">
        <v>349</v>
      </c>
      <c r="J68" s="20" t="s">
        <v>349</v>
      </c>
      <c r="K68" s="18" t="n">
        <v>2.75679071</v>
      </c>
      <c r="L68" s="20" t="n">
        <v>0.52454182</v>
      </c>
      <c r="M68" s="18" t="n">
        <v>0</v>
      </c>
      <c r="N68" s="20" t="n">
        <v>0</v>
      </c>
      <c r="O68" s="18" t="n">
        <v>0</v>
      </c>
      <c r="P68" s="20" t="n">
        <v>0</v>
      </c>
      <c r="Q68" s="18" t="n">
        <v>0.58670354</v>
      </c>
      <c r="R68" s="20" t="n">
        <v>0.23732988</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(2732.0/B70*100)</f>
        <v/>
      </c>
      <c r="D70" s="19" t="n">
        <v>375</v>
      </c>
      <c r="E70" s="18" t="n">
        <v>48.48241119</v>
      </c>
      <c r="F70" s="20" t="n">
        <v>2.76504997</v>
      </c>
      <c r="G70" s="18" t="n">
        <v>49.94993313</v>
      </c>
      <c r="H70" s="20" t="n">
        <v>2.83389435</v>
      </c>
      <c r="I70" s="18" t="s">
        <v>349</v>
      </c>
      <c r="J70" s="20" t="s">
        <v>349</v>
      </c>
      <c r="K70" s="18" t="n">
        <v>0.99265395</v>
      </c>
      <c r="L70" s="20" t="n">
        <v>0.53554902</v>
      </c>
      <c r="M70" s="18" t="n">
        <v>0</v>
      </c>
      <c r="N70" s="20" t="n">
        <v>0</v>
      </c>
      <c r="O70" s="18" t="n">
        <v>0</v>
      </c>
      <c r="P70" s="20" t="n">
        <v>0</v>
      </c>
      <c r="Q70" s="18" t="n">
        <v>0.57500173</v>
      </c>
      <c r="R70" s="20" t="n">
        <v>0.4351721</v>
      </c>
    </row>
    <row r="71" spans="1:18">
      <c r="A71" s="15" t="s">
        <v>413</v>
      </c>
      <c r="B71" s="17" t="n">
        <v>2973</v>
      </c>
      <c r="C71" s="18">
        <f>(2627.0/B71*100)</f>
        <v/>
      </c>
      <c r="D71" s="19" t="n">
        <v>346</v>
      </c>
      <c r="E71" s="18" t="n">
        <v>27.53064642</v>
      </c>
      <c r="F71" s="20" t="n">
        <v>2.39562534</v>
      </c>
      <c r="G71" s="18" t="n">
        <v>72.13394925999999</v>
      </c>
      <c r="H71" s="20" t="n">
        <v>2.37831525</v>
      </c>
      <c r="I71" s="18" t="s">
        <v>349</v>
      </c>
      <c r="J71" s="20" t="s">
        <v>349</v>
      </c>
      <c r="K71" s="18" t="n">
        <v>0.33540432</v>
      </c>
      <c r="L71" s="20" t="n">
        <v>0.32466044</v>
      </c>
      <c r="M71" s="18" t="n">
        <v>0</v>
      </c>
      <c r="N71" s="20" t="n">
        <v>0</v>
      </c>
      <c r="O71" s="18" t="n">
        <v>0</v>
      </c>
      <c r="P71" s="20" t="n">
        <v>0</v>
      </c>
      <c r="Q71" s="18" t="n">
        <v>0</v>
      </c>
      <c r="R71" s="20" t="n">
        <v>0</v>
      </c>
    </row>
    <row r="72" spans="1:18">
      <c r="A72" s="15" t="s">
        <v>414</v>
      </c>
      <c r="B72" s="17" t="n">
        <v>3819</v>
      </c>
      <c r="C72" s="18">
        <f>(3365.0/B72*100)</f>
        <v/>
      </c>
      <c r="D72" s="19" t="n">
        <v>454</v>
      </c>
      <c r="E72" s="18" t="n">
        <v>31.47925994</v>
      </c>
      <c r="F72" s="20" t="n">
        <v>2.4659002</v>
      </c>
      <c r="G72" s="18" t="n">
        <v>68.22990540000001</v>
      </c>
      <c r="H72" s="20" t="n">
        <v>2.47342719</v>
      </c>
      <c r="I72" s="18" t="s">
        <v>349</v>
      </c>
      <c r="J72" s="20" t="s">
        <v>349</v>
      </c>
      <c r="K72" s="18" t="n">
        <v>0.29083467</v>
      </c>
      <c r="L72" s="20" t="n">
        <v>0.28984997</v>
      </c>
      <c r="M72" s="18" t="n">
        <v>0</v>
      </c>
      <c r="N72" s="20" t="n">
        <v>0</v>
      </c>
      <c r="O72" s="18" t="n">
        <v>0</v>
      </c>
      <c r="P72" s="20" t="n">
        <v>0</v>
      </c>
      <c r="Q72" s="18" t="n">
        <v>0</v>
      </c>
      <c r="R72" s="20" t="n">
        <v>0</v>
      </c>
    </row>
    <row r="73" spans="1:18">
      <c r="A73" s="15" t="s">
        <v>415</v>
      </c>
      <c r="B73" s="17" t="n">
        <v>4652</v>
      </c>
      <c r="C73" s="18">
        <f>(4094.0/B73*100)</f>
        <v/>
      </c>
      <c r="D73" s="19" t="n">
        <v>558</v>
      </c>
      <c r="E73" s="18" t="n">
        <v>68.02273116000001</v>
      </c>
      <c r="F73" s="20" t="n">
        <v>2.8595419</v>
      </c>
      <c r="G73" s="18" t="n">
        <v>31.90424979</v>
      </c>
      <c r="H73" s="20" t="n">
        <v>2.8586151</v>
      </c>
      <c r="I73" s="18" t="s">
        <v>349</v>
      </c>
      <c r="J73" s="20" t="s">
        <v>349</v>
      </c>
      <c r="K73" s="18" t="n">
        <v>0.07301906</v>
      </c>
      <c r="L73" s="20" t="n">
        <v>0.06877174</v>
      </c>
      <c r="M73" s="18" t="n">
        <v>0</v>
      </c>
      <c r="N73" s="20" t="n">
        <v>0</v>
      </c>
      <c r="O73" s="18" t="n">
        <v>0</v>
      </c>
      <c r="P73" s="20" t="n">
        <v>0</v>
      </c>
      <c r="Q73" s="18" t="n">
        <v>0</v>
      </c>
      <c r="R73" s="20" t="n">
        <v>0</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(2655.0/B75*100)</f>
        <v/>
      </c>
      <c r="D75" s="19" t="n">
        <v>314</v>
      </c>
      <c r="E75" s="18" t="n">
        <v>66.56890475</v>
      </c>
      <c r="F75" s="20" t="n">
        <v>2.94922233</v>
      </c>
      <c r="G75" s="18" t="n">
        <v>26.93052049</v>
      </c>
      <c r="H75" s="20" t="n">
        <v>2.75573883</v>
      </c>
      <c r="I75" s="18" t="s">
        <v>349</v>
      </c>
      <c r="J75" s="20" t="s">
        <v>349</v>
      </c>
      <c r="K75" s="18" t="n">
        <v>3.9155003</v>
      </c>
      <c r="L75" s="20" t="n">
        <v>1.15089565</v>
      </c>
      <c r="M75" s="18" t="n">
        <v>0</v>
      </c>
      <c r="N75" s="20" t="n">
        <v>0</v>
      </c>
      <c r="O75" s="18" t="n">
        <v>0</v>
      </c>
      <c r="P75" s="20" t="n">
        <v>0</v>
      </c>
      <c r="Q75" s="18" t="n">
        <v>2.58507446</v>
      </c>
      <c r="R75" s="20" t="n">
        <v>1.07794209</v>
      </c>
    </row>
    <row r="76" spans="1:18">
      <c r="A76" s="15" t="s">
        <v>418</v>
      </c>
      <c r="B76" s="17" t="n">
        <v>7115</v>
      </c>
      <c r="C76" s="18">
        <f>(6260.0/B76*100)</f>
        <v/>
      </c>
      <c r="D76" s="19" t="n">
        <v>855</v>
      </c>
      <c r="E76" s="18" t="n">
        <v>64.88384424</v>
      </c>
      <c r="F76" s="20" t="n">
        <v>2.36615003</v>
      </c>
      <c r="G76" s="18" t="n">
        <v>34.22580804</v>
      </c>
      <c r="H76" s="20" t="n">
        <v>2.33678847</v>
      </c>
      <c r="I76" s="18" t="s">
        <v>349</v>
      </c>
      <c r="J76" s="20" t="s">
        <v>349</v>
      </c>
      <c r="K76" s="18" t="n">
        <v>0.74434244</v>
      </c>
      <c r="L76" s="20" t="n">
        <v>0.25862485</v>
      </c>
      <c r="M76" s="18" t="n">
        <v>0</v>
      </c>
      <c r="N76" s="20" t="n">
        <v>0</v>
      </c>
      <c r="O76" s="18" t="n">
        <v>0</v>
      </c>
      <c r="P76" s="20" t="n">
        <v>0</v>
      </c>
      <c r="Q76" s="18" t="n">
        <v>0.14600529</v>
      </c>
      <c r="R76" s="20" t="n">
        <v>0.12760319</v>
      </c>
    </row>
    <row r="77" spans="1:18">
      <c r="A77" s="15" t="s">
        <v>419</v>
      </c>
      <c r="B77" s="17" t="n">
        <v>3154</v>
      </c>
      <c r="C77" s="18">
        <f>(2807.0/B77*100)</f>
        <v/>
      </c>
      <c r="D77" s="19" t="n">
        <v>347</v>
      </c>
      <c r="E77" s="18" t="n">
        <v>60.33530692</v>
      </c>
      <c r="F77" s="20" t="n">
        <v>2.47109181</v>
      </c>
      <c r="G77" s="18" t="n">
        <v>37.43445346</v>
      </c>
      <c r="H77" s="20" t="n">
        <v>2.60453076</v>
      </c>
      <c r="I77" s="18" t="s">
        <v>349</v>
      </c>
      <c r="J77" s="20" t="s">
        <v>349</v>
      </c>
      <c r="K77" s="18" t="n">
        <v>1.72405418</v>
      </c>
      <c r="L77" s="20" t="n">
        <v>0.6552331</v>
      </c>
      <c r="M77" s="18" t="n">
        <v>0</v>
      </c>
      <c r="N77" s="20" t="n">
        <v>0</v>
      </c>
      <c r="O77" s="18" t="n">
        <v>0</v>
      </c>
      <c r="P77" s="20" t="n">
        <v>0</v>
      </c>
      <c r="Q77" s="18" t="n">
        <v>0.50618544</v>
      </c>
      <c r="R77" s="20" t="n">
        <v>0.33370927</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(4128.0/B81*100)</f>
        <v/>
      </c>
      <c r="D81" s="19" t="n">
        <v>570</v>
      </c>
      <c r="E81" s="18" t="n">
        <v>64.01866192999999</v>
      </c>
      <c r="F81" s="20" t="n">
        <v>2.80446382</v>
      </c>
      <c r="G81" s="18" t="n">
        <v>35.74178707</v>
      </c>
      <c r="H81" s="20" t="n">
        <v>2.75379349</v>
      </c>
      <c r="I81" s="18" t="s">
        <v>349</v>
      </c>
      <c r="J81" s="20" t="s">
        <v>349</v>
      </c>
      <c r="K81" s="18" t="n">
        <v>0.239551</v>
      </c>
      <c r="L81" s="20" t="n">
        <v>0.23787532</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(6361.0/B7*100)</f>
        <v/>
      </c>
      <c r="D7" s="19" t="n">
        <v>802</v>
      </c>
      <c r="E7" s="18" t="n">
        <v>59.64676609</v>
      </c>
      <c r="F7" s="20" t="n">
        <v>2.02558921</v>
      </c>
      <c r="G7" s="18" t="n">
        <v>38.57821015</v>
      </c>
      <c r="H7" s="20" t="n">
        <v>2.03902911</v>
      </c>
      <c r="I7" s="18" t="s">
        <v>349</v>
      </c>
      <c r="J7" s="20" t="s">
        <v>349</v>
      </c>
      <c r="K7" s="18" t="n">
        <v>1.77502375</v>
      </c>
      <c r="L7" s="20" t="n">
        <v>0.5361144799999999</v>
      </c>
      <c r="M7" s="18" t="n">
        <v>0</v>
      </c>
      <c r="N7" s="20" t="n">
        <v>0</v>
      </c>
      <c r="O7" s="18" t="n">
        <v>0</v>
      </c>
      <c r="P7" s="20" t="n">
        <v>0</v>
      </c>
      <c r="Q7" s="18" t="n">
        <v>0</v>
      </c>
      <c r="R7" s="20" t="n">
        <v>0</v>
      </c>
    </row>
    <row r="8" spans="1:18">
      <c r="A8" s="15" t="s">
        <v>350</v>
      </c>
      <c r="B8" s="17" t="n">
        <v>3443</v>
      </c>
      <c r="C8" s="18">
        <f>(3047.0/B8*100)</f>
        <v/>
      </c>
      <c r="D8" s="19" t="n">
        <v>396</v>
      </c>
      <c r="E8" s="18" t="n">
        <v>52.11917002</v>
      </c>
      <c r="F8" s="20" t="n">
        <v>3.21507508</v>
      </c>
      <c r="G8" s="18" t="n">
        <v>46.53078586</v>
      </c>
      <c r="H8" s="20" t="n">
        <v>3.15910915</v>
      </c>
      <c r="I8" s="18" t="s">
        <v>349</v>
      </c>
      <c r="J8" s="20" t="s">
        <v>349</v>
      </c>
      <c r="K8" s="18" t="n">
        <v>1.35004412</v>
      </c>
      <c r="L8" s="20" t="n">
        <v>0.51067236</v>
      </c>
      <c r="M8" s="18" t="n">
        <v>0</v>
      </c>
      <c r="N8" s="20" t="n">
        <v>0</v>
      </c>
      <c r="O8" s="18" t="n">
        <v>0</v>
      </c>
      <c r="P8" s="20" t="n">
        <v>0</v>
      </c>
      <c r="Q8" s="18" t="n">
        <v>0</v>
      </c>
      <c r="R8" s="20" t="n">
        <v>0</v>
      </c>
    </row>
    <row r="9" spans="1:18">
      <c r="A9" s="15" t="s">
        <v>351</v>
      </c>
      <c r="B9" s="17" t="n">
        <v>4752</v>
      </c>
      <c r="C9" s="18">
        <f>(4221.0/B9*100)</f>
        <v/>
      </c>
      <c r="D9" s="19" t="n">
        <v>531</v>
      </c>
      <c r="E9" s="18" t="n">
        <v>47.36579146</v>
      </c>
      <c r="F9" s="20" t="n">
        <v>2.08726819</v>
      </c>
      <c r="G9" s="18" t="n">
        <v>50.72444713</v>
      </c>
      <c r="H9" s="20" t="n">
        <v>2.06771315</v>
      </c>
      <c r="I9" s="18" t="s">
        <v>349</v>
      </c>
      <c r="J9" s="20" t="s">
        <v>349</v>
      </c>
      <c r="K9" s="18" t="n">
        <v>1.90976141</v>
      </c>
      <c r="L9" s="20" t="n">
        <v>0.64044357</v>
      </c>
      <c r="M9" s="18" t="n">
        <v>0</v>
      </c>
      <c r="N9" s="20" t="n">
        <v>0</v>
      </c>
      <c r="O9" s="18" t="n">
        <v>0</v>
      </c>
      <c r="P9" s="20" t="n">
        <v>0</v>
      </c>
      <c r="Q9" s="18" t="n">
        <v>0</v>
      </c>
      <c r="R9" s="20" t="n">
        <v>0</v>
      </c>
    </row>
    <row r="10" spans="1:18">
      <c r="A10" s="15" t="s">
        <v>352</v>
      </c>
      <c r="B10" s="17" t="n">
        <v>10022</v>
      </c>
      <c r="C10" s="18">
        <f>(8821.0/B10*100)</f>
        <v/>
      </c>
      <c r="D10" s="19" t="n">
        <v>1201</v>
      </c>
      <c r="E10" s="18" t="n">
        <v>54.54073661</v>
      </c>
      <c r="F10" s="20" t="n">
        <v>2.2336236</v>
      </c>
      <c r="G10" s="18" t="n">
        <v>43.78326571</v>
      </c>
      <c r="H10" s="20" t="n">
        <v>2.19770565</v>
      </c>
      <c r="I10" s="18" t="s">
        <v>349</v>
      </c>
      <c r="J10" s="20" t="s">
        <v>349</v>
      </c>
      <c r="K10" s="18" t="n">
        <v>1.67599769</v>
      </c>
      <c r="L10" s="20" t="n">
        <v>0.5254091400000001</v>
      </c>
      <c r="M10" s="18" t="n">
        <v>0</v>
      </c>
      <c r="N10" s="20" t="n">
        <v>0</v>
      </c>
      <c r="O10" s="18" t="n">
        <v>0</v>
      </c>
      <c r="P10" s="20" t="n">
        <v>0</v>
      </c>
      <c r="Q10" s="18" t="n">
        <v>0</v>
      </c>
      <c r="R10" s="20" t="n">
        <v>0</v>
      </c>
    </row>
    <row r="11" spans="1:18">
      <c r="A11" s="15" t="s">
        <v>353</v>
      </c>
      <c r="B11" s="17" t="n">
        <v>3500</v>
      </c>
      <c r="C11" s="18">
        <f>(3098.0/B11*100)</f>
        <v/>
      </c>
      <c r="D11" s="19" t="n">
        <v>402</v>
      </c>
      <c r="E11" s="18" t="n">
        <v>74.34311408000001</v>
      </c>
      <c r="F11" s="20" t="n">
        <v>2.41180353</v>
      </c>
      <c r="G11" s="18" t="n">
        <v>23.83466779</v>
      </c>
      <c r="H11" s="20" t="n">
        <v>2.42415526</v>
      </c>
      <c r="I11" s="18" t="s">
        <v>349</v>
      </c>
      <c r="J11" s="20" t="s">
        <v>349</v>
      </c>
      <c r="K11" s="18" t="n">
        <v>1.82221813</v>
      </c>
      <c r="L11" s="20" t="n">
        <v>0.70151758</v>
      </c>
      <c r="M11" s="18" t="n">
        <v>0</v>
      </c>
      <c r="N11" s="20" t="n">
        <v>0</v>
      </c>
      <c r="O11" s="18" t="n">
        <v>0</v>
      </c>
      <c r="P11" s="20" t="n">
        <v>0</v>
      </c>
      <c r="Q11" s="18" t="n">
        <v>0</v>
      </c>
      <c r="R11" s="20" t="n">
        <v>0</v>
      </c>
    </row>
    <row r="12" spans="1:18">
      <c r="A12" s="15" t="s">
        <v>354</v>
      </c>
      <c r="B12" s="17" t="n">
        <v>3422</v>
      </c>
      <c r="C12" s="18">
        <f>(2993.0/B12*100)</f>
        <v/>
      </c>
      <c r="D12" s="19" t="n">
        <v>429</v>
      </c>
      <c r="E12" s="18" t="n">
        <v>58.82920018</v>
      </c>
      <c r="F12" s="20" t="n">
        <v>2.68436215</v>
      </c>
      <c r="G12" s="18" t="n">
        <v>40.28678331</v>
      </c>
      <c r="H12" s="20" t="n">
        <v>2.68635352</v>
      </c>
      <c r="I12" s="18" t="s">
        <v>349</v>
      </c>
      <c r="J12" s="20" t="s">
        <v>349</v>
      </c>
      <c r="K12" s="18" t="n">
        <v>0.88401651</v>
      </c>
      <c r="L12" s="20" t="n">
        <v>0.54831021</v>
      </c>
      <c r="M12" s="18" t="n">
        <v>0</v>
      </c>
      <c r="N12" s="20" t="n">
        <v>0</v>
      </c>
      <c r="O12" s="18" t="n">
        <v>0</v>
      </c>
      <c r="P12" s="20" t="n">
        <v>0</v>
      </c>
      <c r="Q12" s="18" t="n">
        <v>0</v>
      </c>
      <c r="R12" s="20" t="n">
        <v>0</v>
      </c>
    </row>
    <row r="13" spans="1:18">
      <c r="A13" s="15" t="s">
        <v>355</v>
      </c>
      <c r="B13" s="17" t="n">
        <v>3602</v>
      </c>
      <c r="C13" s="18">
        <f>(3185.0/B13*100)</f>
        <v/>
      </c>
      <c r="D13" s="19" t="n">
        <v>417</v>
      </c>
      <c r="E13" s="18" t="n">
        <v>57.75670951</v>
      </c>
      <c r="F13" s="20" t="n">
        <v>2.87210651</v>
      </c>
      <c r="G13" s="18" t="n">
        <v>41.18544283</v>
      </c>
      <c r="H13" s="20" t="n">
        <v>2.83696349</v>
      </c>
      <c r="I13" s="18" t="s">
        <v>349</v>
      </c>
      <c r="J13" s="20" t="s">
        <v>349</v>
      </c>
      <c r="K13" s="18" t="n">
        <v>1.05784767</v>
      </c>
      <c r="L13" s="20" t="n">
        <v>0.65612537</v>
      </c>
      <c r="M13" s="18" t="n">
        <v>0</v>
      </c>
      <c r="N13" s="20" t="n">
        <v>0</v>
      </c>
      <c r="O13" s="18" t="n">
        <v>0</v>
      </c>
      <c r="P13" s="20" t="n">
        <v>0</v>
      </c>
      <c r="Q13" s="18" t="n">
        <v>0</v>
      </c>
      <c r="R13" s="20" t="n">
        <v>0</v>
      </c>
    </row>
    <row r="14" spans="1:18">
      <c r="A14" s="15" t="s">
        <v>356</v>
      </c>
      <c r="B14" s="17" t="n">
        <v>2788</v>
      </c>
      <c r="C14" s="18">
        <f>(2447.0/B14*100)</f>
        <v/>
      </c>
      <c r="D14" s="19" t="n">
        <v>341</v>
      </c>
      <c r="E14" s="18" t="n">
        <v>51.71050357</v>
      </c>
      <c r="F14" s="20" t="n">
        <v>3.04402782</v>
      </c>
      <c r="G14" s="18" t="n">
        <v>45.46618525</v>
      </c>
      <c r="H14" s="20" t="n">
        <v>3.08921188</v>
      </c>
      <c r="I14" s="18" t="s">
        <v>349</v>
      </c>
      <c r="J14" s="20" t="s">
        <v>349</v>
      </c>
      <c r="K14" s="18" t="n">
        <v>2.82331118</v>
      </c>
      <c r="L14" s="20" t="n">
        <v>0.82671984</v>
      </c>
      <c r="M14" s="18" t="n">
        <v>0</v>
      </c>
      <c r="N14" s="20" t="n">
        <v>0</v>
      </c>
      <c r="O14" s="18" t="n">
        <v>0</v>
      </c>
      <c r="P14" s="20" t="n">
        <v>0</v>
      </c>
      <c r="Q14" s="18" t="n">
        <v>0</v>
      </c>
      <c r="R14" s="20" t="n">
        <v>0</v>
      </c>
    </row>
    <row r="15" spans="1:18">
      <c r="A15" s="15" t="s">
        <v>357</v>
      </c>
      <c r="B15" s="17" t="n">
        <v>2863</v>
      </c>
      <c r="C15" s="18">
        <f>(2512.0/B15*100)</f>
        <v/>
      </c>
      <c r="D15" s="19" t="n">
        <v>351</v>
      </c>
      <c r="E15" s="18" t="n">
        <v>55.14930578</v>
      </c>
      <c r="F15" s="20" t="n">
        <v>2.52957045</v>
      </c>
      <c r="G15" s="18" t="n">
        <v>43.29731716</v>
      </c>
      <c r="H15" s="20" t="n">
        <v>2.53587162</v>
      </c>
      <c r="I15" s="18" t="s">
        <v>349</v>
      </c>
      <c r="J15" s="20" t="s">
        <v>349</v>
      </c>
      <c r="K15" s="18" t="n">
        <v>1.55337706</v>
      </c>
      <c r="L15" s="20" t="n">
        <v>0.53824279</v>
      </c>
      <c r="M15" s="18" t="n">
        <v>0</v>
      </c>
      <c r="N15" s="20" t="n">
        <v>0</v>
      </c>
      <c r="O15" s="18" t="n">
        <v>0</v>
      </c>
      <c r="P15" s="20" t="n">
        <v>0</v>
      </c>
      <c r="Q15" s="18" t="n">
        <v>0</v>
      </c>
      <c r="R15" s="20" t="n">
        <v>0</v>
      </c>
    </row>
    <row r="16" spans="1:18">
      <c r="A16" s="15" t="s">
        <v>358</v>
      </c>
      <c r="B16" s="17" t="n">
        <v>3111</v>
      </c>
      <c r="C16" s="18">
        <f>(2732.0/B16*100)</f>
        <v/>
      </c>
      <c r="D16" s="19" t="n">
        <v>379</v>
      </c>
      <c r="E16" s="18" t="n">
        <v>57.31615788</v>
      </c>
      <c r="F16" s="20" t="n">
        <v>2.45758937</v>
      </c>
      <c r="G16" s="18" t="n">
        <v>40.82162899</v>
      </c>
      <c r="H16" s="20" t="n">
        <v>2.400694</v>
      </c>
      <c r="I16" s="18" t="s">
        <v>349</v>
      </c>
      <c r="J16" s="20" t="s">
        <v>349</v>
      </c>
      <c r="K16" s="18" t="n">
        <v>1.86221313</v>
      </c>
      <c r="L16" s="20" t="n">
        <v>0.68420622</v>
      </c>
      <c r="M16" s="18" t="n">
        <v>0</v>
      </c>
      <c r="N16" s="20" t="n">
        <v>0</v>
      </c>
      <c r="O16" s="18" t="n">
        <v>0</v>
      </c>
      <c r="P16" s="20" t="n">
        <v>0</v>
      </c>
      <c r="Q16" s="18" t="n">
        <v>0</v>
      </c>
      <c r="R16" s="20" t="n">
        <v>0</v>
      </c>
    </row>
    <row r="17" spans="1:18">
      <c r="A17" s="15" t="s">
        <v>359</v>
      </c>
      <c r="B17" s="17" t="n">
        <v>3197</v>
      </c>
      <c r="C17" s="18">
        <f>(2828.0/B17*100)</f>
        <v/>
      </c>
      <c r="D17" s="19" t="n">
        <v>369</v>
      </c>
      <c r="E17" s="18" t="n">
        <v>55.058261</v>
      </c>
      <c r="F17" s="20" t="n">
        <v>2.73362747</v>
      </c>
      <c r="G17" s="18" t="n">
        <v>43.68286392</v>
      </c>
      <c r="H17" s="20" t="n">
        <v>2.75584348</v>
      </c>
      <c r="I17" s="18" t="s">
        <v>349</v>
      </c>
      <c r="J17" s="20" t="s">
        <v>349</v>
      </c>
      <c r="K17" s="18" t="n">
        <v>1.25887508</v>
      </c>
      <c r="L17" s="20" t="n">
        <v>0.5370101900000001</v>
      </c>
      <c r="M17" s="18" t="n">
        <v>0</v>
      </c>
      <c r="N17" s="20" t="n">
        <v>0</v>
      </c>
      <c r="O17" s="18" t="n">
        <v>0</v>
      </c>
      <c r="P17" s="20" t="n">
        <v>0</v>
      </c>
      <c r="Q17" s="18" t="n">
        <v>0</v>
      </c>
      <c r="R17" s="20" t="n">
        <v>0</v>
      </c>
    </row>
    <row r="18" spans="1:18">
      <c r="A18" s="15" t="s">
        <v>360</v>
      </c>
      <c r="B18" s="17" t="n">
        <v>2706</v>
      </c>
      <c r="C18" s="18">
        <f>(2344.0/B18*100)</f>
        <v/>
      </c>
      <c r="D18" s="19" t="n">
        <v>362</v>
      </c>
      <c r="E18" s="18" t="n">
        <v>62.92052379</v>
      </c>
      <c r="F18" s="20" t="n">
        <v>2.50362581</v>
      </c>
      <c r="G18" s="18" t="n">
        <v>35.40099701</v>
      </c>
      <c r="H18" s="20" t="n">
        <v>2.61666269</v>
      </c>
      <c r="I18" s="18" t="s">
        <v>349</v>
      </c>
      <c r="J18" s="20" t="s">
        <v>349</v>
      </c>
      <c r="K18" s="18" t="n">
        <v>1.6784792</v>
      </c>
      <c r="L18" s="20" t="n">
        <v>0.82597475</v>
      </c>
      <c r="M18" s="18" t="n">
        <v>0</v>
      </c>
      <c r="N18" s="20" t="n">
        <v>0</v>
      </c>
      <c r="O18" s="18" t="n">
        <v>0</v>
      </c>
      <c r="P18" s="20" t="n">
        <v>0</v>
      </c>
      <c r="Q18" s="18" t="n">
        <v>0</v>
      </c>
      <c r="R18" s="20" t="n">
        <v>0</v>
      </c>
    </row>
    <row r="19" spans="1:18">
      <c r="A19" s="15" t="s">
        <v>361</v>
      </c>
      <c r="B19" s="17" t="n">
        <v>2850</v>
      </c>
      <c r="C19" s="18">
        <f>(2495.0/B19*100)</f>
        <v/>
      </c>
      <c r="D19" s="19" t="n">
        <v>355</v>
      </c>
      <c r="E19" s="18" t="n">
        <v>54.75600555</v>
      </c>
      <c r="F19" s="20" t="n">
        <v>2.49664436</v>
      </c>
      <c r="G19" s="18" t="n">
        <v>44.48768857</v>
      </c>
      <c r="H19" s="20" t="n">
        <v>2.42900705</v>
      </c>
      <c r="I19" s="18" t="s">
        <v>349</v>
      </c>
      <c r="J19" s="20" t="s">
        <v>349</v>
      </c>
      <c r="K19" s="18" t="n">
        <v>0.75630588</v>
      </c>
      <c r="L19" s="20" t="n">
        <v>0.43514531</v>
      </c>
      <c r="M19" s="18" t="n">
        <v>0</v>
      </c>
      <c r="N19" s="20" t="n">
        <v>0</v>
      </c>
      <c r="O19" s="18" t="n">
        <v>0</v>
      </c>
      <c r="P19" s="20" t="n">
        <v>0</v>
      </c>
      <c r="Q19" s="18" t="n">
        <v>0</v>
      </c>
      <c r="R19" s="20" t="n">
        <v>0</v>
      </c>
    </row>
    <row r="20" spans="1:18">
      <c r="A20" s="15" t="s">
        <v>362</v>
      </c>
      <c r="B20" s="17" t="n">
        <v>1741</v>
      </c>
      <c r="C20" s="18">
        <f>(1532.0/B20*100)</f>
        <v/>
      </c>
      <c r="D20" s="19" t="n">
        <v>209</v>
      </c>
      <c r="E20" s="18" t="n">
        <v>60.23610644</v>
      </c>
      <c r="F20" s="20" t="n">
        <v>3.5358931</v>
      </c>
      <c r="G20" s="18" t="n">
        <v>39.29687232</v>
      </c>
      <c r="H20" s="20" t="n">
        <v>3.53525644</v>
      </c>
      <c r="I20" s="18" t="s">
        <v>349</v>
      </c>
      <c r="J20" s="20" t="s">
        <v>349</v>
      </c>
      <c r="K20" s="18" t="n">
        <v>0.46702123</v>
      </c>
      <c r="L20" s="20" t="n">
        <v>0.47039729</v>
      </c>
      <c r="M20" s="18" t="n">
        <v>0</v>
      </c>
      <c r="N20" s="20" t="n">
        <v>0</v>
      </c>
      <c r="O20" s="18" t="n">
        <v>0</v>
      </c>
      <c r="P20" s="20" t="n">
        <v>0</v>
      </c>
      <c r="Q20" s="18" t="n">
        <v>0</v>
      </c>
      <c r="R20" s="20" t="n">
        <v>0</v>
      </c>
    </row>
    <row r="21" spans="1:18">
      <c r="A21" s="15" t="s">
        <v>363</v>
      </c>
      <c r="B21" s="17" t="n">
        <v>2833</v>
      </c>
      <c r="C21" s="18">
        <f>(2350.0/B21*100)</f>
        <v/>
      </c>
      <c r="D21" s="19" t="n">
        <v>483</v>
      </c>
      <c r="E21" s="18" t="n">
        <v>63.4547652</v>
      </c>
      <c r="F21" s="20" t="n">
        <v>1.91122494</v>
      </c>
      <c r="G21" s="18" t="n">
        <v>35.42910309</v>
      </c>
      <c r="H21" s="20" t="n">
        <v>1.75012097</v>
      </c>
      <c r="I21" s="18" t="s">
        <v>349</v>
      </c>
      <c r="J21" s="20" t="s">
        <v>349</v>
      </c>
      <c r="K21" s="18" t="n">
        <v>1.11613171</v>
      </c>
      <c r="L21" s="20" t="n">
        <v>0.5123217799999999</v>
      </c>
      <c r="M21" s="18" t="n">
        <v>0</v>
      </c>
      <c r="N21" s="20" t="n">
        <v>0</v>
      </c>
      <c r="O21" s="18" t="n">
        <v>0</v>
      </c>
      <c r="P21" s="20" t="n">
        <v>0</v>
      </c>
      <c r="Q21" s="18" t="n">
        <v>0</v>
      </c>
      <c r="R21" s="20" t="n">
        <v>0</v>
      </c>
    </row>
    <row r="22" spans="1:18">
      <c r="A22" s="15" t="s">
        <v>364</v>
      </c>
      <c r="B22" s="17" t="n">
        <v>3667</v>
      </c>
      <c r="C22" s="18">
        <f>(3242.0/B22*100)</f>
        <v/>
      </c>
      <c r="D22" s="19" t="n">
        <v>425</v>
      </c>
      <c r="E22" s="18" t="n">
        <v>61.04217248</v>
      </c>
      <c r="F22" s="20" t="n">
        <v>2.37954593</v>
      </c>
      <c r="G22" s="18" t="n">
        <v>36.94896844</v>
      </c>
      <c r="H22" s="20" t="n">
        <v>2.38471229</v>
      </c>
      <c r="I22" s="18" t="s">
        <v>349</v>
      </c>
      <c r="J22" s="20" t="s">
        <v>349</v>
      </c>
      <c r="K22" s="18" t="n">
        <v>2.00885908</v>
      </c>
      <c r="L22" s="20" t="n">
        <v>0.69042675</v>
      </c>
      <c r="M22" s="18" t="n">
        <v>0</v>
      </c>
      <c r="N22" s="20" t="n">
        <v>0</v>
      </c>
      <c r="O22" s="18" t="n">
        <v>0</v>
      </c>
      <c r="P22" s="20" t="n">
        <v>0</v>
      </c>
      <c r="Q22" s="18" t="n">
        <v>0</v>
      </c>
      <c r="R22" s="20" t="n">
        <v>0</v>
      </c>
    </row>
    <row r="23" spans="1:18">
      <c r="A23" s="15" t="s">
        <v>365</v>
      </c>
      <c r="B23" s="17" t="n">
        <v>5792</v>
      </c>
      <c r="C23" s="18">
        <f>(5077.0/B23*100)</f>
        <v/>
      </c>
      <c r="D23" s="19" t="n">
        <v>715</v>
      </c>
      <c r="E23" s="18" t="n">
        <v>58.94153547</v>
      </c>
      <c r="F23" s="20" t="n">
        <v>2.49359885</v>
      </c>
      <c r="G23" s="18" t="n">
        <v>39.04323363</v>
      </c>
      <c r="H23" s="20" t="n">
        <v>2.38893263</v>
      </c>
      <c r="I23" s="18" t="s">
        <v>349</v>
      </c>
      <c r="J23" s="20" t="s">
        <v>349</v>
      </c>
      <c r="K23" s="18" t="n">
        <v>2.0152309</v>
      </c>
      <c r="L23" s="20" t="n">
        <v>0.60689517</v>
      </c>
      <c r="M23" s="18" t="n">
        <v>0</v>
      </c>
      <c r="N23" s="20" t="n">
        <v>0</v>
      </c>
      <c r="O23" s="18" t="n">
        <v>0</v>
      </c>
      <c r="P23" s="20" t="n">
        <v>0</v>
      </c>
      <c r="Q23" s="18" t="n">
        <v>0</v>
      </c>
      <c r="R23" s="20" t="n">
        <v>0</v>
      </c>
    </row>
    <row r="24" spans="1:18">
      <c r="A24" s="15" t="s">
        <v>366</v>
      </c>
      <c r="B24" s="17" t="n">
        <v>3309</v>
      </c>
      <c r="C24" s="18">
        <f>(2907.0/B24*100)</f>
        <v/>
      </c>
      <c r="D24" s="19" t="n">
        <v>402</v>
      </c>
      <c r="E24" s="18" t="n">
        <v>49.17776801</v>
      </c>
      <c r="F24" s="20" t="n">
        <v>2.60371739</v>
      </c>
      <c r="G24" s="18" t="n">
        <v>49.19291338</v>
      </c>
      <c r="H24" s="20" t="n">
        <v>2.53853492</v>
      </c>
      <c r="I24" s="18" t="s">
        <v>349</v>
      </c>
      <c r="J24" s="20" t="s">
        <v>349</v>
      </c>
      <c r="K24" s="18" t="n">
        <v>1.62931861</v>
      </c>
      <c r="L24" s="20" t="n">
        <v>0.6144839600000001</v>
      </c>
      <c r="M24" s="18" t="n">
        <v>0</v>
      </c>
      <c r="N24" s="20" t="n">
        <v>0</v>
      </c>
      <c r="O24" s="18" t="n">
        <v>0</v>
      </c>
      <c r="P24" s="20" t="n">
        <v>0</v>
      </c>
      <c r="Q24" s="18" t="n">
        <v>0</v>
      </c>
      <c r="R24" s="20" t="n">
        <v>0</v>
      </c>
    </row>
    <row r="25" spans="1:18">
      <c r="A25" s="15" t="s">
        <v>367</v>
      </c>
      <c r="B25" s="17" t="n">
        <v>2669</v>
      </c>
      <c r="C25" s="18">
        <f>(2342.0/B25*100)</f>
        <v/>
      </c>
      <c r="D25" s="19" t="n">
        <v>327</v>
      </c>
      <c r="E25" s="18" t="n">
        <v>51.71525121</v>
      </c>
      <c r="F25" s="20" t="n">
        <v>2.79324424</v>
      </c>
      <c r="G25" s="18" t="n">
        <v>48.24323031</v>
      </c>
      <c r="H25" s="20" t="n">
        <v>2.79633327</v>
      </c>
      <c r="I25" s="18" t="s">
        <v>349</v>
      </c>
      <c r="J25" s="20" t="s">
        <v>349</v>
      </c>
      <c r="K25" s="18" t="n">
        <v>0.04151848</v>
      </c>
      <c r="L25" s="20" t="n">
        <v>0.04187352</v>
      </c>
      <c r="M25" s="18" t="n">
        <v>0</v>
      </c>
      <c r="N25" s="20" t="n">
        <v>0</v>
      </c>
      <c r="O25" s="18" t="n">
        <v>0</v>
      </c>
      <c r="P25" s="20" t="n">
        <v>0</v>
      </c>
      <c r="Q25" s="18" t="n">
        <v>0</v>
      </c>
      <c r="R25" s="20" t="n">
        <v>0</v>
      </c>
    </row>
    <row r="26" spans="1:18">
      <c r="A26" s="15" t="s">
        <v>368</v>
      </c>
      <c r="B26" s="17" t="n">
        <v>2419</v>
      </c>
      <c r="C26" s="18">
        <f>(2123.0/B26*100)</f>
        <v/>
      </c>
      <c r="D26" s="19" t="n">
        <v>296</v>
      </c>
      <c r="E26" s="18" t="n">
        <v>56.61690156</v>
      </c>
      <c r="F26" s="20" t="n">
        <v>3.15385624</v>
      </c>
      <c r="G26" s="18" t="n">
        <v>42.14530449</v>
      </c>
      <c r="H26" s="20" t="n">
        <v>3.05762227</v>
      </c>
      <c r="I26" s="18" t="s">
        <v>349</v>
      </c>
      <c r="J26" s="20" t="s">
        <v>349</v>
      </c>
      <c r="K26" s="18" t="n">
        <v>1.23779396</v>
      </c>
      <c r="L26" s="20" t="n">
        <v>0.9962486</v>
      </c>
      <c r="M26" s="18" t="n">
        <v>0</v>
      </c>
      <c r="N26" s="20" t="n">
        <v>0</v>
      </c>
      <c r="O26" s="18" t="n">
        <v>0</v>
      </c>
      <c r="P26" s="20" t="n">
        <v>0</v>
      </c>
      <c r="Q26" s="18" t="n">
        <v>0</v>
      </c>
      <c r="R26" s="20" t="n">
        <v>0</v>
      </c>
    </row>
    <row r="27" spans="1:18">
      <c r="A27" s="15" t="s">
        <v>369</v>
      </c>
      <c r="B27" s="17" t="n">
        <v>2683</v>
      </c>
      <c r="C27" s="18">
        <f>(2381.0/B27*100)</f>
        <v/>
      </c>
      <c r="D27" s="19" t="n">
        <v>302</v>
      </c>
      <c r="E27" s="18" t="n">
        <v>56.34971136</v>
      </c>
      <c r="F27" s="20" t="n">
        <v>2.60377175</v>
      </c>
      <c r="G27" s="18" t="n">
        <v>42.33015333</v>
      </c>
      <c r="H27" s="20" t="n">
        <v>2.56517953</v>
      </c>
      <c r="I27" s="18" t="s">
        <v>349</v>
      </c>
      <c r="J27" s="20" t="s">
        <v>349</v>
      </c>
      <c r="K27" s="18" t="n">
        <v>1.32013531</v>
      </c>
      <c r="L27" s="20" t="n">
        <v>0.66578769</v>
      </c>
      <c r="M27" s="18" t="n">
        <v>0</v>
      </c>
      <c r="N27" s="20" t="n">
        <v>0</v>
      </c>
      <c r="O27" s="18" t="n">
        <v>0</v>
      </c>
      <c r="P27" s="20" t="n">
        <v>0</v>
      </c>
      <c r="Q27" s="18" t="n">
        <v>0</v>
      </c>
      <c r="R27" s="20" t="n">
        <v>0</v>
      </c>
    </row>
    <row r="28" spans="1:18">
      <c r="A28" s="15" t="s">
        <v>370</v>
      </c>
      <c r="B28" s="17" t="n">
        <v>3803</v>
      </c>
      <c r="C28" s="18">
        <f>(3380.0/B28*100)</f>
        <v/>
      </c>
      <c r="D28" s="19" t="n">
        <v>423</v>
      </c>
      <c r="E28" s="18" t="n">
        <v>70.28360727</v>
      </c>
      <c r="F28" s="20" t="n">
        <v>2.68161814</v>
      </c>
      <c r="G28" s="18" t="n">
        <v>27.38039675</v>
      </c>
      <c r="H28" s="20" t="n">
        <v>2.33064659</v>
      </c>
      <c r="I28" s="18" t="s">
        <v>349</v>
      </c>
      <c r="J28" s="20" t="s">
        <v>349</v>
      </c>
      <c r="K28" s="18" t="n">
        <v>2.33599598</v>
      </c>
      <c r="L28" s="20" t="n">
        <v>1.25425999</v>
      </c>
      <c r="M28" s="18" t="n">
        <v>0</v>
      </c>
      <c r="N28" s="20" t="n">
        <v>0</v>
      </c>
      <c r="O28" s="18" t="n">
        <v>0</v>
      </c>
      <c r="P28" s="20" t="n">
        <v>0</v>
      </c>
      <c r="Q28" s="18" t="n">
        <v>0</v>
      </c>
      <c r="R28" s="20" t="n">
        <v>0</v>
      </c>
    </row>
    <row r="29" spans="1:18">
      <c r="A29" s="15" t="s">
        <v>371</v>
      </c>
      <c r="B29" s="17" t="n">
        <v>2700</v>
      </c>
      <c r="C29" s="18">
        <f>(2367.0/B29*100)</f>
        <v/>
      </c>
      <c r="D29" s="19" t="n">
        <v>333</v>
      </c>
      <c r="E29" s="18" t="n">
        <v>49.86493702</v>
      </c>
      <c r="F29" s="20" t="n">
        <v>2.80970905</v>
      </c>
      <c r="G29" s="18" t="n">
        <v>49.87257837</v>
      </c>
      <c r="H29" s="20" t="n">
        <v>2.77169888</v>
      </c>
      <c r="I29" s="18" t="s">
        <v>349</v>
      </c>
      <c r="J29" s="20" t="s">
        <v>349</v>
      </c>
      <c r="K29" s="18" t="n">
        <v>0.26248461</v>
      </c>
      <c r="L29" s="20" t="n">
        <v>0.23864195</v>
      </c>
      <c r="M29" s="18" t="n">
        <v>0</v>
      </c>
      <c r="N29" s="20" t="n">
        <v>0</v>
      </c>
      <c r="O29" s="18" t="n">
        <v>0</v>
      </c>
      <c r="P29" s="20" t="n">
        <v>0</v>
      </c>
      <c r="Q29" s="18" t="n">
        <v>0</v>
      </c>
      <c r="R29" s="20" t="n">
        <v>0</v>
      </c>
    </row>
    <row r="30" spans="1:18">
      <c r="A30" s="15" t="s">
        <v>372</v>
      </c>
      <c r="B30" s="17" t="n">
        <v>2257</v>
      </c>
      <c r="C30" s="18">
        <f>(1990.0/B30*100)</f>
        <v/>
      </c>
      <c r="D30" s="19" t="n">
        <v>267</v>
      </c>
      <c r="E30" s="18" t="n">
        <v>57.80576718</v>
      </c>
      <c r="F30" s="20" t="n">
        <v>3.28861178</v>
      </c>
      <c r="G30" s="18" t="n">
        <v>39.95154901</v>
      </c>
      <c r="H30" s="20" t="n">
        <v>3.21888655</v>
      </c>
      <c r="I30" s="18" t="s">
        <v>349</v>
      </c>
      <c r="J30" s="20" t="s">
        <v>349</v>
      </c>
      <c r="K30" s="18" t="n">
        <v>2.24268381</v>
      </c>
      <c r="L30" s="20" t="n">
        <v>0.81155996</v>
      </c>
      <c r="M30" s="18" t="n">
        <v>0</v>
      </c>
      <c r="N30" s="20" t="n">
        <v>0</v>
      </c>
      <c r="O30" s="18" t="n">
        <v>0</v>
      </c>
      <c r="P30" s="20" t="n">
        <v>0</v>
      </c>
      <c r="Q30" s="18" t="n">
        <v>0</v>
      </c>
      <c r="R30" s="20" t="n">
        <v>0</v>
      </c>
    </row>
    <row r="31" spans="1:18">
      <c r="A31" s="15" t="s">
        <v>373</v>
      </c>
      <c r="B31" s="17" t="n">
        <v>2706</v>
      </c>
      <c r="C31" s="18">
        <f>(2374.0/B31*100)</f>
        <v/>
      </c>
      <c r="D31" s="19" t="n">
        <v>332</v>
      </c>
      <c r="E31" s="18" t="n">
        <v>52.9992181</v>
      </c>
      <c r="F31" s="20" t="n">
        <v>2.75191129</v>
      </c>
      <c r="G31" s="18" t="n">
        <v>45.04528847</v>
      </c>
      <c r="H31" s="20" t="n">
        <v>2.75706475</v>
      </c>
      <c r="I31" s="18" t="s">
        <v>349</v>
      </c>
      <c r="J31" s="20" t="s">
        <v>349</v>
      </c>
      <c r="K31" s="18" t="n">
        <v>1.95549343</v>
      </c>
      <c r="L31" s="20" t="n">
        <v>0.74411317</v>
      </c>
      <c r="M31" s="18" t="n">
        <v>0</v>
      </c>
      <c r="N31" s="20" t="n">
        <v>0</v>
      </c>
      <c r="O31" s="18" t="n">
        <v>0</v>
      </c>
      <c r="P31" s="20" t="n">
        <v>0</v>
      </c>
      <c r="Q31" s="18" t="n">
        <v>0</v>
      </c>
      <c r="R31" s="20" t="n">
        <v>0</v>
      </c>
    </row>
    <row r="32" spans="1:18">
      <c r="A32" s="15" t="s">
        <v>374</v>
      </c>
      <c r="B32" s="17" t="n">
        <v>2209</v>
      </c>
      <c r="C32" s="18">
        <f>(1860.0/B32*100)</f>
        <v/>
      </c>
      <c r="D32" s="19" t="n">
        <v>349</v>
      </c>
      <c r="E32" s="18" t="n">
        <v>52.09287458</v>
      </c>
      <c r="F32" s="20" t="n">
        <v>2.70586908</v>
      </c>
      <c r="G32" s="18" t="n">
        <v>47.45938058</v>
      </c>
      <c r="H32" s="20" t="n">
        <v>2.67990956</v>
      </c>
      <c r="I32" s="18" t="s">
        <v>349</v>
      </c>
      <c r="J32" s="20" t="s">
        <v>349</v>
      </c>
      <c r="K32" s="18" t="n">
        <v>0.44774484</v>
      </c>
      <c r="L32" s="20" t="n">
        <v>0.43776341</v>
      </c>
      <c r="M32" s="18" t="n">
        <v>0</v>
      </c>
      <c r="N32" s="20" t="n">
        <v>0</v>
      </c>
      <c r="O32" s="18" t="n">
        <v>0</v>
      </c>
      <c r="P32" s="20" t="n">
        <v>0</v>
      </c>
      <c r="Q32" s="18" t="n">
        <v>0</v>
      </c>
      <c r="R32" s="20" t="n">
        <v>0</v>
      </c>
    </row>
    <row r="33" spans="1:18">
      <c r="A33" s="15" t="s">
        <v>375</v>
      </c>
      <c r="B33" s="17" t="n">
        <v>3651</v>
      </c>
      <c r="C33" s="18">
        <f>(3219.0/B33*100)</f>
        <v/>
      </c>
      <c r="D33" s="19" t="n">
        <v>432</v>
      </c>
      <c r="E33" s="18" t="n">
        <v>59.23480475</v>
      </c>
      <c r="F33" s="20" t="n">
        <v>2.8247177</v>
      </c>
      <c r="G33" s="18" t="n">
        <v>38.81872887</v>
      </c>
      <c r="H33" s="20" t="n">
        <v>2.59451681</v>
      </c>
      <c r="I33" s="18" t="s">
        <v>349</v>
      </c>
      <c r="J33" s="20" t="s">
        <v>349</v>
      </c>
      <c r="K33" s="18" t="n">
        <v>1.94646638</v>
      </c>
      <c r="L33" s="20" t="n">
        <v>0.93116468</v>
      </c>
      <c r="M33" s="18" t="n">
        <v>0</v>
      </c>
      <c r="N33" s="20" t="n">
        <v>0</v>
      </c>
      <c r="O33" s="18" t="n">
        <v>0</v>
      </c>
      <c r="P33" s="20" t="n">
        <v>0</v>
      </c>
      <c r="Q33" s="18" t="n">
        <v>0</v>
      </c>
      <c r="R33" s="20" t="n">
        <v>0</v>
      </c>
    </row>
    <row r="34" spans="1:18">
      <c r="A34" s="15" t="s">
        <v>376</v>
      </c>
      <c r="B34" s="17" t="n">
        <v>3035</v>
      </c>
      <c r="C34" s="18">
        <f>(2699.0/B34*100)</f>
        <v/>
      </c>
      <c r="D34" s="19" t="n">
        <v>336</v>
      </c>
      <c r="E34" s="18" t="n">
        <v>55.14495781</v>
      </c>
      <c r="F34" s="20" t="n">
        <v>3.23544391</v>
      </c>
      <c r="G34" s="18" t="n">
        <v>44.85504219</v>
      </c>
      <c r="H34" s="20" t="n">
        <v>3.23544391</v>
      </c>
      <c r="I34" s="18" t="s">
        <v>349</v>
      </c>
      <c r="J34" s="20" t="s">
        <v>349</v>
      </c>
      <c r="K34" s="18" t="n">
        <v>0</v>
      </c>
      <c r="L34" s="20" t="n">
        <v>0</v>
      </c>
      <c r="M34" s="18" t="n">
        <v>0</v>
      </c>
      <c r="N34" s="20" t="n">
        <v>0</v>
      </c>
      <c r="O34" s="18" t="n">
        <v>0</v>
      </c>
      <c r="P34" s="20" t="n">
        <v>0</v>
      </c>
      <c r="Q34" s="18" t="n">
        <v>0</v>
      </c>
      <c r="R34" s="20" t="n">
        <v>0</v>
      </c>
    </row>
    <row r="35" spans="1:18">
      <c r="A35" s="15" t="s">
        <v>377</v>
      </c>
      <c r="B35" s="17" t="n">
        <v>2901</v>
      </c>
      <c r="C35" s="18">
        <f>(2568.0/B35*100)</f>
        <v/>
      </c>
      <c r="D35" s="19" t="n">
        <v>333</v>
      </c>
      <c r="E35" s="18" t="n">
        <v>45.42627012</v>
      </c>
      <c r="F35" s="20" t="n">
        <v>3.07540102</v>
      </c>
      <c r="G35" s="18" t="n">
        <v>53.51614541</v>
      </c>
      <c r="H35" s="20" t="n">
        <v>3.00118548</v>
      </c>
      <c r="I35" s="18" t="s">
        <v>349</v>
      </c>
      <c r="J35" s="20" t="s">
        <v>349</v>
      </c>
      <c r="K35" s="18" t="n">
        <v>1.05758447</v>
      </c>
      <c r="L35" s="20" t="n">
        <v>0.63107159</v>
      </c>
      <c r="M35" s="18" t="n">
        <v>0</v>
      </c>
      <c r="N35" s="20" t="n">
        <v>0</v>
      </c>
      <c r="O35" s="18" t="n">
        <v>0</v>
      </c>
      <c r="P35" s="20" t="n">
        <v>0</v>
      </c>
      <c r="Q35" s="18" t="n">
        <v>0</v>
      </c>
      <c r="R35" s="20" t="n">
        <v>0</v>
      </c>
    </row>
    <row r="36" spans="1:18">
      <c r="A36" s="15" t="s">
        <v>378</v>
      </c>
      <c r="B36" s="17" t="n">
        <v>3404</v>
      </c>
      <c r="C36" s="18">
        <f>(3013.0/B36*100)</f>
        <v/>
      </c>
      <c r="D36" s="19" t="n">
        <v>391</v>
      </c>
      <c r="E36" s="18" t="n">
        <v>62.26587804</v>
      </c>
      <c r="F36" s="20" t="n">
        <v>2.4056121</v>
      </c>
      <c r="G36" s="18" t="n">
        <v>36.17518291</v>
      </c>
      <c r="H36" s="20" t="n">
        <v>2.58387429</v>
      </c>
      <c r="I36" s="18" t="s">
        <v>349</v>
      </c>
      <c r="J36" s="20" t="s">
        <v>349</v>
      </c>
      <c r="K36" s="18" t="n">
        <v>1.55893905</v>
      </c>
      <c r="L36" s="20" t="n">
        <v>0.66587274</v>
      </c>
      <c r="M36" s="18" t="n">
        <v>0</v>
      </c>
      <c r="N36" s="20" t="n">
        <v>0</v>
      </c>
      <c r="O36" s="18" t="n">
        <v>0</v>
      </c>
      <c r="P36" s="20" t="n">
        <v>0</v>
      </c>
      <c r="Q36" s="18" t="n">
        <v>0</v>
      </c>
      <c r="R36" s="20" t="n">
        <v>0</v>
      </c>
    </row>
    <row r="37" spans="1:18">
      <c r="A37" s="15" t="s">
        <v>379</v>
      </c>
      <c r="B37" s="17" t="n">
        <v>2731</v>
      </c>
      <c r="C37" s="18">
        <f>(2413.0/B37*100)</f>
        <v/>
      </c>
      <c r="D37" s="19" t="n">
        <v>318</v>
      </c>
      <c r="E37" s="18" t="n">
        <v>49.0660608</v>
      </c>
      <c r="F37" s="20" t="n">
        <v>3.4365651</v>
      </c>
      <c r="G37" s="18" t="n">
        <v>48.54616955</v>
      </c>
      <c r="H37" s="20" t="n">
        <v>3.37090912</v>
      </c>
      <c r="I37" s="18" t="s">
        <v>349</v>
      </c>
      <c r="J37" s="20" t="s">
        <v>349</v>
      </c>
      <c r="K37" s="18" t="n">
        <v>2.38776966</v>
      </c>
      <c r="L37" s="20" t="n">
        <v>0.81816024</v>
      </c>
      <c r="M37" s="18" t="n">
        <v>0</v>
      </c>
      <c r="N37" s="20" t="n">
        <v>0</v>
      </c>
      <c r="O37" s="18" t="n">
        <v>0</v>
      </c>
      <c r="P37" s="20" t="n">
        <v>0</v>
      </c>
      <c r="Q37" s="18" t="n">
        <v>0</v>
      </c>
      <c r="R37" s="20" t="n">
        <v>0</v>
      </c>
    </row>
    <row r="38" spans="1:18">
      <c r="A38" s="15" t="s">
        <v>380</v>
      </c>
      <c r="B38" s="17" t="n">
        <v>2807</v>
      </c>
      <c r="C38" s="18">
        <f>(2328.0/B38*100)</f>
        <v/>
      </c>
      <c r="D38" s="19" t="n">
        <v>479</v>
      </c>
      <c r="E38" s="18" t="n">
        <v>49.55598876</v>
      </c>
      <c r="F38" s="20" t="n">
        <v>3.00131772</v>
      </c>
      <c r="G38" s="18" t="n">
        <v>49.57180393</v>
      </c>
      <c r="H38" s="20" t="n">
        <v>3.07195068</v>
      </c>
      <c r="I38" s="18" t="s">
        <v>349</v>
      </c>
      <c r="J38" s="20" t="s">
        <v>349</v>
      </c>
      <c r="K38" s="18" t="n">
        <v>0.87220731</v>
      </c>
      <c r="L38" s="20" t="n">
        <v>0.3507207</v>
      </c>
      <c r="M38" s="18" t="n">
        <v>0</v>
      </c>
      <c r="N38" s="20" t="n">
        <v>0</v>
      </c>
      <c r="O38" s="18" t="n">
        <v>0</v>
      </c>
      <c r="P38" s="20" t="n">
        <v>0</v>
      </c>
      <c r="Q38" s="18" t="n">
        <v>0</v>
      </c>
      <c r="R38" s="20" t="n">
        <v>0</v>
      </c>
    </row>
    <row r="39" spans="1:18">
      <c r="A39" s="15" t="s">
        <v>381</v>
      </c>
      <c r="B39" s="17" t="n">
        <v>2938</v>
      </c>
      <c r="C39" s="18">
        <f>(2577.0/B39*100)</f>
        <v/>
      </c>
      <c r="D39" s="19" t="n">
        <v>361</v>
      </c>
      <c r="E39" s="18" t="n">
        <v>69.18293730000001</v>
      </c>
      <c r="F39" s="20" t="n">
        <v>2.7550638</v>
      </c>
      <c r="G39" s="18" t="n">
        <v>29.00760322</v>
      </c>
      <c r="H39" s="20" t="n">
        <v>2.53442991</v>
      </c>
      <c r="I39" s="18" t="s">
        <v>349</v>
      </c>
      <c r="J39" s="20" t="s">
        <v>349</v>
      </c>
      <c r="K39" s="18" t="n">
        <v>1.80945947</v>
      </c>
      <c r="L39" s="20" t="n">
        <v>0.99925548</v>
      </c>
      <c r="M39" s="18" t="n">
        <v>0</v>
      </c>
      <c r="N39" s="20" t="n">
        <v>0</v>
      </c>
      <c r="O39" s="18" t="n">
        <v>0</v>
      </c>
      <c r="P39" s="20" t="n">
        <v>0</v>
      </c>
      <c r="Q39" s="18" t="n">
        <v>0</v>
      </c>
      <c r="R39" s="20" t="n">
        <v>0</v>
      </c>
    </row>
    <row r="40" spans="1:18">
      <c r="A40" s="15" t="s">
        <v>382</v>
      </c>
      <c r="B40" s="17" t="n">
        <v>6922</v>
      </c>
      <c r="C40" s="18">
        <f>(6093.0/B40*100)</f>
        <v/>
      </c>
      <c r="D40" s="19" t="n">
        <v>829</v>
      </c>
      <c r="E40" s="18" t="n">
        <v>62.16460871</v>
      </c>
      <c r="F40" s="20" t="n">
        <v>2.52172412</v>
      </c>
      <c r="G40" s="18" t="n">
        <v>37.15214315</v>
      </c>
      <c r="H40" s="20" t="n">
        <v>2.43603868</v>
      </c>
      <c r="I40" s="18" t="s">
        <v>349</v>
      </c>
      <c r="J40" s="20" t="s">
        <v>349</v>
      </c>
      <c r="K40" s="18" t="n">
        <v>0.68324814</v>
      </c>
      <c r="L40" s="20" t="n">
        <v>0.4670246</v>
      </c>
      <c r="M40" s="18" t="n">
        <v>0</v>
      </c>
      <c r="N40" s="20" t="n">
        <v>0</v>
      </c>
      <c r="O40" s="18" t="n">
        <v>0</v>
      </c>
      <c r="P40" s="20" t="n">
        <v>0</v>
      </c>
      <c r="Q40" s="18" t="n">
        <v>0</v>
      </c>
      <c r="R40" s="20" t="n">
        <v>0</v>
      </c>
    </row>
    <row r="41" spans="1:18">
      <c r="A41" s="15" t="s">
        <v>383</v>
      </c>
      <c r="B41" s="17" t="n">
        <v>2854</v>
      </c>
      <c r="C41" s="18">
        <f>(2519.0/B41*100)</f>
        <v/>
      </c>
      <c r="D41" s="19" t="n">
        <v>335</v>
      </c>
      <c r="E41" s="18" t="n">
        <v>64.25016669</v>
      </c>
      <c r="F41" s="20" t="n">
        <v>2.5070389</v>
      </c>
      <c r="G41" s="18" t="n">
        <v>34.73081411</v>
      </c>
      <c r="H41" s="20" t="n">
        <v>2.49756021</v>
      </c>
      <c r="I41" s="18" t="s">
        <v>349</v>
      </c>
      <c r="J41" s="20" t="s">
        <v>349</v>
      </c>
      <c r="K41" s="18" t="n">
        <v>1.0190192</v>
      </c>
      <c r="L41" s="20" t="n">
        <v>0.5678166100000001</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(10923.0/B46*100)</f>
        <v/>
      </c>
      <c r="D46" s="19" t="n">
        <v>1150</v>
      </c>
      <c r="E46" s="18" t="n">
        <v>75.26426515</v>
      </c>
      <c r="F46" s="20" t="n">
        <v>1.81609747</v>
      </c>
      <c r="G46" s="18" t="n">
        <v>21.35118315</v>
      </c>
      <c r="H46" s="20" t="n">
        <v>1.81047579</v>
      </c>
      <c r="I46" s="18" t="s">
        <v>349</v>
      </c>
      <c r="J46" s="20" t="s">
        <v>349</v>
      </c>
      <c r="K46" s="18" t="n">
        <v>3.3845517</v>
      </c>
      <c r="L46" s="20" t="n">
        <v>0.82739528</v>
      </c>
      <c r="M46" s="18" t="n">
        <v>0</v>
      </c>
      <c r="N46" s="20" t="n">
        <v>0</v>
      </c>
      <c r="O46" s="18" t="n">
        <v>0</v>
      </c>
      <c r="P46" s="20" t="n">
        <v>0</v>
      </c>
      <c r="Q46" s="18" t="n">
        <v>0</v>
      </c>
      <c r="R46" s="20" t="n">
        <v>0</v>
      </c>
    </row>
    <row r="47" spans="1:18">
      <c r="A47" s="15" t="s">
        <v>389</v>
      </c>
      <c r="B47" s="17" t="n">
        <v>2823</v>
      </c>
      <c r="C47" s="18">
        <f>(2483.0/B47*100)</f>
        <v/>
      </c>
      <c r="D47" s="19" t="n">
        <v>340</v>
      </c>
      <c r="E47" s="18" t="n">
        <v>56.03641467</v>
      </c>
      <c r="F47" s="20" t="n">
        <v>3.04798711</v>
      </c>
      <c r="G47" s="18" t="n">
        <v>42.57017897</v>
      </c>
      <c r="H47" s="20" t="n">
        <v>3.04161078</v>
      </c>
      <c r="I47" s="18" t="s">
        <v>349</v>
      </c>
      <c r="J47" s="20" t="s">
        <v>349</v>
      </c>
      <c r="K47" s="18" t="n">
        <v>1.39340636</v>
      </c>
      <c r="L47" s="20" t="n">
        <v>0.68053763</v>
      </c>
      <c r="M47" s="18" t="n">
        <v>0</v>
      </c>
      <c r="N47" s="20" t="n">
        <v>0</v>
      </c>
      <c r="O47" s="18" t="n">
        <v>0</v>
      </c>
      <c r="P47" s="20" t="n">
        <v>0</v>
      </c>
      <c r="Q47" s="18" t="n">
        <v>0</v>
      </c>
      <c r="R47" s="20" t="n">
        <v>0</v>
      </c>
    </row>
    <row r="48" spans="1:18">
      <c r="A48" s="15" t="s">
        <v>390</v>
      </c>
      <c r="B48" s="17" t="n">
        <v>4682</v>
      </c>
      <c r="C48" s="18">
        <f>(4113.0/B48*100)</f>
        <v/>
      </c>
      <c r="D48" s="19" t="n">
        <v>569</v>
      </c>
      <c r="E48" s="18" t="n">
        <v>33.39718168</v>
      </c>
      <c r="F48" s="20" t="n">
        <v>2.28838885</v>
      </c>
      <c r="G48" s="18" t="n">
        <v>66.10776733</v>
      </c>
      <c r="H48" s="20" t="n">
        <v>2.38645106</v>
      </c>
      <c r="I48" s="18" t="s">
        <v>349</v>
      </c>
      <c r="J48" s="20" t="s">
        <v>349</v>
      </c>
      <c r="K48" s="18" t="n">
        <v>0.49505099</v>
      </c>
      <c r="L48" s="20" t="n">
        <v>0.32708798</v>
      </c>
      <c r="M48" s="18" t="n">
        <v>0</v>
      </c>
      <c r="N48" s="20" t="n">
        <v>0</v>
      </c>
      <c r="O48" s="18" t="n">
        <v>0</v>
      </c>
      <c r="P48" s="20" t="n">
        <v>0</v>
      </c>
      <c r="Q48" s="18" t="n">
        <v>0</v>
      </c>
      <c r="R48" s="20" t="n">
        <v>0</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(5425.0/B50*100)</f>
        <v/>
      </c>
      <c r="D50" s="19" t="n">
        <v>733</v>
      </c>
      <c r="E50" s="18" t="n">
        <v>75.59188743</v>
      </c>
      <c r="F50" s="20" t="n">
        <v>2.20416797</v>
      </c>
      <c r="G50" s="18" t="n">
        <v>22.31727774</v>
      </c>
      <c r="H50" s="20" t="n">
        <v>2.14308879</v>
      </c>
      <c r="I50" s="18" t="s">
        <v>349</v>
      </c>
      <c r="J50" s="20" t="s">
        <v>349</v>
      </c>
      <c r="K50" s="18" t="n">
        <v>2.09083482</v>
      </c>
      <c r="L50" s="20" t="n">
        <v>0.74548881</v>
      </c>
      <c r="M50" s="18" t="n">
        <v>0</v>
      </c>
      <c r="N50" s="20" t="n">
        <v>0</v>
      </c>
      <c r="O50" s="18" t="n">
        <v>0</v>
      </c>
      <c r="P50" s="20" t="n">
        <v>0</v>
      </c>
      <c r="Q50" s="18" t="n">
        <v>0</v>
      </c>
      <c r="R50" s="20" t="n">
        <v>0</v>
      </c>
    </row>
    <row r="51" spans="1:18">
      <c r="A51" s="15" t="s">
        <v>393</v>
      </c>
      <c r="B51" s="17" t="n">
        <v>3494</v>
      </c>
      <c r="C51" s="18">
        <f>(3115.0/B51*100)</f>
        <v/>
      </c>
      <c r="D51" s="19" t="n">
        <v>379</v>
      </c>
      <c r="E51" s="18" t="n">
        <v>75.79139379999999</v>
      </c>
      <c r="F51" s="20" t="n">
        <v>2.43634913</v>
      </c>
      <c r="G51" s="18" t="n">
        <v>23.266201</v>
      </c>
      <c r="H51" s="20" t="n">
        <v>2.45498457</v>
      </c>
      <c r="I51" s="18" t="s">
        <v>349</v>
      </c>
      <c r="J51" s="20" t="s">
        <v>349</v>
      </c>
      <c r="K51" s="18" t="n">
        <v>0.9424052000000001</v>
      </c>
      <c r="L51" s="20" t="n">
        <v>0.45799631</v>
      </c>
      <c r="M51" s="18" t="n">
        <v>0</v>
      </c>
      <c r="N51" s="20" t="n">
        <v>0</v>
      </c>
      <c r="O51" s="18" t="n">
        <v>0</v>
      </c>
      <c r="P51" s="20" t="n">
        <v>0</v>
      </c>
      <c r="Q51" s="18" t="n">
        <v>0</v>
      </c>
      <c r="R51" s="20" t="n">
        <v>0</v>
      </c>
    </row>
    <row r="52" spans="1:18">
      <c r="A52" s="15" t="s">
        <v>394</v>
      </c>
      <c r="B52" s="17" t="n">
        <v>3013</v>
      </c>
      <c r="C52" s="18">
        <f>(2639.0/B52*100)</f>
        <v/>
      </c>
      <c r="D52" s="19" t="n">
        <v>374</v>
      </c>
      <c r="E52" s="18" t="n">
        <v>57.46074507</v>
      </c>
      <c r="F52" s="20" t="n">
        <v>2.86597736</v>
      </c>
      <c r="G52" s="18" t="n">
        <v>40.36044987</v>
      </c>
      <c r="H52" s="20" t="n">
        <v>2.75740747</v>
      </c>
      <c r="I52" s="18" t="s">
        <v>349</v>
      </c>
      <c r="J52" s="20" t="s">
        <v>349</v>
      </c>
      <c r="K52" s="18" t="n">
        <v>2.17880506</v>
      </c>
      <c r="L52" s="20" t="n">
        <v>0.77160567</v>
      </c>
      <c r="M52" s="18" t="n">
        <v>0</v>
      </c>
      <c r="N52" s="20" t="n">
        <v>0</v>
      </c>
      <c r="O52" s="18" t="n">
        <v>0</v>
      </c>
      <c r="P52" s="20" t="n">
        <v>0</v>
      </c>
      <c r="Q52" s="18" t="n">
        <v>0</v>
      </c>
      <c r="R52" s="20" t="n">
        <v>0</v>
      </c>
    </row>
    <row r="53" spans="1:18">
      <c r="A53" s="15" t="s">
        <v>395</v>
      </c>
      <c r="B53" s="17" t="n">
        <v>2760</v>
      </c>
      <c r="C53" s="18">
        <f>(2412.0/B53*100)</f>
        <v/>
      </c>
      <c r="D53" s="19" t="n">
        <v>348</v>
      </c>
      <c r="E53" s="18" t="n">
        <v>68.18670246000001</v>
      </c>
      <c r="F53" s="20" t="n">
        <v>2.48271082</v>
      </c>
      <c r="G53" s="18" t="n">
        <v>30.45417954</v>
      </c>
      <c r="H53" s="20" t="n">
        <v>2.41671729</v>
      </c>
      <c r="I53" s="18" t="s">
        <v>349</v>
      </c>
      <c r="J53" s="20" t="s">
        <v>349</v>
      </c>
      <c r="K53" s="18" t="n">
        <v>1.35911799</v>
      </c>
      <c r="L53" s="20" t="n">
        <v>0.56540971</v>
      </c>
      <c r="M53" s="18" t="n">
        <v>0</v>
      </c>
      <c r="N53" s="20" t="n">
        <v>0</v>
      </c>
      <c r="O53" s="18" t="n">
        <v>0</v>
      </c>
      <c r="P53" s="20" t="n">
        <v>0</v>
      </c>
      <c r="Q53" s="18" t="n">
        <v>0</v>
      </c>
      <c r="R53" s="20" t="n">
        <v>0</v>
      </c>
    </row>
    <row r="54" spans="1:18">
      <c r="A54" s="15" t="s">
        <v>396</v>
      </c>
      <c r="B54" s="17" t="n">
        <v>2474</v>
      </c>
      <c r="C54" s="18">
        <f>(2084.0/B54*100)</f>
        <v/>
      </c>
      <c r="D54" s="19" t="n">
        <v>390</v>
      </c>
      <c r="E54" s="18" t="n">
        <v>72.02873214</v>
      </c>
      <c r="F54" s="20" t="n">
        <v>2.73233499</v>
      </c>
      <c r="G54" s="18" t="n">
        <v>12.34704508</v>
      </c>
      <c r="H54" s="20" t="n">
        <v>1.80301957</v>
      </c>
      <c r="I54" s="18" t="s">
        <v>349</v>
      </c>
      <c r="J54" s="20" t="s">
        <v>349</v>
      </c>
      <c r="K54" s="18" t="n">
        <v>15.62422279</v>
      </c>
      <c r="L54" s="20" t="n">
        <v>2.23989646</v>
      </c>
      <c r="M54" s="18" t="n">
        <v>0</v>
      </c>
      <c r="N54" s="20" t="n">
        <v>0</v>
      </c>
      <c r="O54" s="18" t="n">
        <v>0</v>
      </c>
      <c r="P54" s="20" t="n">
        <v>0</v>
      </c>
      <c r="Q54" s="18" t="n">
        <v>0</v>
      </c>
      <c r="R54" s="20" t="n">
        <v>0</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(2335.0/B56*100)</f>
        <v/>
      </c>
      <c r="D56" s="19" t="n">
        <v>340</v>
      </c>
      <c r="E56" s="18" t="n">
        <v>36.36876104</v>
      </c>
      <c r="F56" s="20" t="n">
        <v>2.81933648</v>
      </c>
      <c r="G56" s="18" t="n">
        <v>63.02486481</v>
      </c>
      <c r="H56" s="20" t="n">
        <v>2.82678575</v>
      </c>
      <c r="I56" s="18" t="s">
        <v>349</v>
      </c>
      <c r="J56" s="20" t="s">
        <v>349</v>
      </c>
      <c r="K56" s="18" t="n">
        <v>0.6063741499999999</v>
      </c>
      <c r="L56" s="20" t="n">
        <v>0.3721031</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(2819.0/B61*100)</f>
        <v/>
      </c>
      <c r="D61" s="19" t="n">
        <v>382</v>
      </c>
      <c r="E61" s="18" t="n">
        <v>53.67289247</v>
      </c>
      <c r="F61" s="20" t="n">
        <v>2.66755588</v>
      </c>
      <c r="G61" s="18" t="n">
        <v>45.49116117</v>
      </c>
      <c r="H61" s="20" t="n">
        <v>2.63925015</v>
      </c>
      <c r="I61" s="18" t="s">
        <v>349</v>
      </c>
      <c r="J61" s="20" t="s">
        <v>349</v>
      </c>
      <c r="K61" s="18" t="n">
        <v>0.83594636</v>
      </c>
      <c r="L61" s="20" t="n">
        <v>0.5319177</v>
      </c>
      <c r="M61" s="18" t="n">
        <v>0</v>
      </c>
      <c r="N61" s="20" t="n">
        <v>0</v>
      </c>
      <c r="O61" s="18" t="n">
        <v>0</v>
      </c>
      <c r="P61" s="20" t="n">
        <v>0</v>
      </c>
      <c r="Q61" s="18" t="n">
        <v>0</v>
      </c>
      <c r="R61" s="20" t="n">
        <v>0</v>
      </c>
    </row>
    <row r="62" spans="1:18">
      <c r="A62" s="15" t="s">
        <v>404</v>
      </c>
      <c r="B62" s="17" t="n">
        <v>2230</v>
      </c>
      <c r="C62" s="18">
        <f>(1951.0/B62*100)</f>
        <v/>
      </c>
      <c r="D62" s="19" t="n">
        <v>279</v>
      </c>
      <c r="E62" s="18" t="n">
        <v>43.44802484</v>
      </c>
      <c r="F62" s="20" t="n">
        <v>2.84923852</v>
      </c>
      <c r="G62" s="18" t="n">
        <v>56.55197516</v>
      </c>
      <c r="H62" s="20" t="n">
        <v>2.84923852</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(2426.0/B66*100)</f>
        <v/>
      </c>
      <c r="D66" s="19" t="n">
        <v>345</v>
      </c>
      <c r="E66" s="18" t="n">
        <v>58.51565061</v>
      </c>
      <c r="F66" s="20" t="n">
        <v>2.8504249</v>
      </c>
      <c r="G66" s="18" t="n">
        <v>37.36917968</v>
      </c>
      <c r="H66" s="20" t="n">
        <v>2.53772496</v>
      </c>
      <c r="I66" s="18" t="s">
        <v>349</v>
      </c>
      <c r="J66" s="20" t="s">
        <v>349</v>
      </c>
      <c r="K66" s="18" t="n">
        <v>4.11516971</v>
      </c>
      <c r="L66" s="20" t="n">
        <v>0.91890405</v>
      </c>
      <c r="M66" s="18" t="n">
        <v>0</v>
      </c>
      <c r="N66" s="20" t="n">
        <v>0</v>
      </c>
      <c r="O66" s="18" t="n">
        <v>0</v>
      </c>
      <c r="P66" s="20" t="n">
        <v>0</v>
      </c>
      <c r="Q66" s="18" t="n">
        <v>0</v>
      </c>
      <c r="R66" s="20" t="n">
        <v>0</v>
      </c>
    </row>
    <row r="67" spans="1:18">
      <c r="A67" s="15" t="s">
        <v>409</v>
      </c>
      <c r="B67" s="17" t="n">
        <v>3460</v>
      </c>
      <c r="C67" s="18">
        <f>(3099.0/B67*100)</f>
        <v/>
      </c>
      <c r="D67" s="19" t="n">
        <v>361</v>
      </c>
      <c r="E67" s="18" t="n">
        <v>74.95690284</v>
      </c>
      <c r="F67" s="20" t="n">
        <v>2.38849088</v>
      </c>
      <c r="G67" s="18" t="n">
        <v>21.93034245</v>
      </c>
      <c r="H67" s="20" t="n">
        <v>2.3323539</v>
      </c>
      <c r="I67" s="18" t="s">
        <v>349</v>
      </c>
      <c r="J67" s="20" t="s">
        <v>349</v>
      </c>
      <c r="K67" s="18" t="n">
        <v>3.11275471</v>
      </c>
      <c r="L67" s="20" t="n">
        <v>1.03263269</v>
      </c>
      <c r="M67" s="18" t="n">
        <v>0</v>
      </c>
      <c r="N67" s="20" t="n">
        <v>0</v>
      </c>
      <c r="O67" s="18" t="n">
        <v>0</v>
      </c>
      <c r="P67" s="20" t="n">
        <v>0</v>
      </c>
      <c r="Q67" s="18" t="n">
        <v>0</v>
      </c>
      <c r="R67" s="20" t="n">
        <v>0</v>
      </c>
    </row>
    <row r="68" spans="1:18">
      <c r="A68" s="15" t="s">
        <v>410</v>
      </c>
      <c r="B68" s="17" t="n">
        <v>6034</v>
      </c>
      <c r="C68" s="18">
        <f>(5026.0/B68*100)</f>
        <v/>
      </c>
      <c r="D68" s="19" t="n">
        <v>1008</v>
      </c>
      <c r="E68" s="18" t="n">
        <v>69.048844</v>
      </c>
      <c r="F68" s="20" t="n">
        <v>1.49515055</v>
      </c>
      <c r="G68" s="18" t="n">
        <v>27.17500755</v>
      </c>
      <c r="H68" s="20" t="n">
        <v>1.35264723</v>
      </c>
      <c r="I68" s="18" t="s">
        <v>349</v>
      </c>
      <c r="J68" s="20" t="s">
        <v>349</v>
      </c>
      <c r="K68" s="18" t="n">
        <v>3.77614845</v>
      </c>
      <c r="L68" s="20" t="n">
        <v>0.604998</v>
      </c>
      <c r="M68" s="18" t="n">
        <v>0</v>
      </c>
      <c r="N68" s="20" t="n">
        <v>0</v>
      </c>
      <c r="O68" s="18" t="n">
        <v>0</v>
      </c>
      <c r="P68" s="20" t="n">
        <v>0</v>
      </c>
      <c r="Q68" s="18" t="n">
        <v>0</v>
      </c>
      <c r="R68" s="20" t="n">
        <v>0</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(2733.0/B70*100)</f>
        <v/>
      </c>
      <c r="D70" s="19" t="n">
        <v>374</v>
      </c>
      <c r="E70" s="18" t="n">
        <v>53.6950327</v>
      </c>
      <c r="F70" s="20" t="n">
        <v>2.69496754</v>
      </c>
      <c r="G70" s="18" t="n">
        <v>45.00682201</v>
      </c>
      <c r="H70" s="20" t="n">
        <v>2.62158004</v>
      </c>
      <c r="I70" s="18" t="s">
        <v>349</v>
      </c>
      <c r="J70" s="20" t="s">
        <v>349</v>
      </c>
      <c r="K70" s="18" t="n">
        <v>1.29814529</v>
      </c>
      <c r="L70" s="20" t="n">
        <v>0.57457309</v>
      </c>
      <c r="M70" s="18" t="n">
        <v>0</v>
      </c>
      <c r="N70" s="20" t="n">
        <v>0</v>
      </c>
      <c r="O70" s="18" t="n">
        <v>0</v>
      </c>
      <c r="P70" s="20" t="n">
        <v>0</v>
      </c>
      <c r="Q70" s="18" t="n">
        <v>0</v>
      </c>
      <c r="R70" s="20" t="n">
        <v>0</v>
      </c>
    </row>
    <row r="71" spans="1:18">
      <c r="A71" s="15" t="s">
        <v>413</v>
      </c>
      <c r="B71" s="17" t="n">
        <v>2973</v>
      </c>
      <c r="C71" s="18">
        <f>(2628.0/B71*100)</f>
        <v/>
      </c>
      <c r="D71" s="19" t="n">
        <v>345</v>
      </c>
      <c r="E71" s="18" t="n">
        <v>34.06314426</v>
      </c>
      <c r="F71" s="20" t="n">
        <v>2.57800684</v>
      </c>
      <c r="G71" s="18" t="n">
        <v>64.80804379999999</v>
      </c>
      <c r="H71" s="20" t="n">
        <v>2.63095729</v>
      </c>
      <c r="I71" s="18" t="s">
        <v>349</v>
      </c>
      <c r="J71" s="20" t="s">
        <v>349</v>
      </c>
      <c r="K71" s="18" t="n">
        <v>1.12881194</v>
      </c>
      <c r="L71" s="20" t="n">
        <v>0.57359418</v>
      </c>
      <c r="M71" s="18" t="n">
        <v>0</v>
      </c>
      <c r="N71" s="20" t="n">
        <v>0</v>
      </c>
      <c r="O71" s="18" t="n">
        <v>0</v>
      </c>
      <c r="P71" s="20" t="n">
        <v>0</v>
      </c>
      <c r="Q71" s="18" t="n">
        <v>0</v>
      </c>
      <c r="R71" s="20" t="n">
        <v>0</v>
      </c>
    </row>
    <row r="72" spans="1:18">
      <c r="A72" s="15" t="s">
        <v>414</v>
      </c>
      <c r="B72" s="17" t="n">
        <v>3819</v>
      </c>
      <c r="C72" s="18">
        <f>(3365.0/B72*100)</f>
        <v/>
      </c>
      <c r="D72" s="19" t="n">
        <v>454</v>
      </c>
      <c r="E72" s="18" t="n">
        <v>43.28340426</v>
      </c>
      <c r="F72" s="20" t="n">
        <v>2.88989054</v>
      </c>
      <c r="G72" s="18" t="n">
        <v>55.94284005</v>
      </c>
      <c r="H72" s="20" t="n">
        <v>2.81264439</v>
      </c>
      <c r="I72" s="18" t="s">
        <v>349</v>
      </c>
      <c r="J72" s="20" t="s">
        <v>349</v>
      </c>
      <c r="K72" s="18" t="n">
        <v>0.77375569</v>
      </c>
      <c r="L72" s="20" t="n">
        <v>0.44501664</v>
      </c>
      <c r="M72" s="18" t="n">
        <v>0</v>
      </c>
      <c r="N72" s="20" t="n">
        <v>0</v>
      </c>
      <c r="O72" s="18" t="n">
        <v>0</v>
      </c>
      <c r="P72" s="20" t="n">
        <v>0</v>
      </c>
      <c r="Q72" s="18" t="n">
        <v>0</v>
      </c>
      <c r="R72" s="20" t="n">
        <v>0</v>
      </c>
    </row>
    <row r="73" spans="1:18">
      <c r="A73" s="15" t="s">
        <v>415</v>
      </c>
      <c r="B73" s="17" t="n">
        <v>4652</v>
      </c>
      <c r="C73" s="18">
        <f>(4101.0/B73*100)</f>
        <v/>
      </c>
      <c r="D73" s="19" t="n">
        <v>551</v>
      </c>
      <c r="E73" s="18" t="n">
        <v>71.29554846000001</v>
      </c>
      <c r="F73" s="20" t="n">
        <v>2.59000806</v>
      </c>
      <c r="G73" s="18" t="n">
        <v>28.19418422</v>
      </c>
      <c r="H73" s="20" t="n">
        <v>2.551793</v>
      </c>
      <c r="I73" s="18" t="s">
        <v>349</v>
      </c>
      <c r="J73" s="20" t="s">
        <v>349</v>
      </c>
      <c r="K73" s="18" t="n">
        <v>0.51026732</v>
      </c>
      <c r="L73" s="20" t="n">
        <v>0.31494106</v>
      </c>
      <c r="M73" s="18" t="n">
        <v>0</v>
      </c>
      <c r="N73" s="20" t="n">
        <v>0</v>
      </c>
      <c r="O73" s="18" t="n">
        <v>0</v>
      </c>
      <c r="P73" s="20" t="n">
        <v>0</v>
      </c>
      <c r="Q73" s="18" t="n">
        <v>0</v>
      </c>
      <c r="R73" s="20" t="n">
        <v>0</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(2656.0/B75*100)</f>
        <v/>
      </c>
      <c r="D75" s="19" t="n">
        <v>313</v>
      </c>
      <c r="E75" s="18" t="n">
        <v>71.52031477</v>
      </c>
      <c r="F75" s="20" t="n">
        <v>2.87849425</v>
      </c>
      <c r="G75" s="18" t="n">
        <v>23.56474011</v>
      </c>
      <c r="H75" s="20" t="n">
        <v>2.63222631</v>
      </c>
      <c r="I75" s="18" t="s">
        <v>349</v>
      </c>
      <c r="J75" s="20" t="s">
        <v>349</v>
      </c>
      <c r="K75" s="18" t="n">
        <v>4.91494511</v>
      </c>
      <c r="L75" s="20" t="n">
        <v>1.28008236</v>
      </c>
      <c r="M75" s="18" t="n">
        <v>0</v>
      </c>
      <c r="N75" s="20" t="n">
        <v>0</v>
      </c>
      <c r="O75" s="18" t="n">
        <v>0</v>
      </c>
      <c r="P75" s="20" t="n">
        <v>0</v>
      </c>
      <c r="Q75" s="18" t="n">
        <v>0</v>
      </c>
      <c r="R75" s="20" t="n">
        <v>0</v>
      </c>
    </row>
    <row r="76" spans="1:18">
      <c r="A76" s="15" t="s">
        <v>418</v>
      </c>
      <c r="B76" s="17" t="n">
        <v>7115</v>
      </c>
      <c r="C76" s="18">
        <f>(6260.0/B76*100)</f>
        <v/>
      </c>
      <c r="D76" s="19" t="n">
        <v>855</v>
      </c>
      <c r="E76" s="18" t="n">
        <v>69.20697002999999</v>
      </c>
      <c r="F76" s="20" t="n">
        <v>2.3654594</v>
      </c>
      <c r="G76" s="18" t="n">
        <v>29.11042018</v>
      </c>
      <c r="H76" s="20" t="n">
        <v>2.37307398</v>
      </c>
      <c r="I76" s="18" t="s">
        <v>349</v>
      </c>
      <c r="J76" s="20" t="s">
        <v>349</v>
      </c>
      <c r="K76" s="18" t="n">
        <v>1.68260979</v>
      </c>
      <c r="L76" s="20" t="n">
        <v>0.46006548</v>
      </c>
      <c r="M76" s="18" t="n">
        <v>0</v>
      </c>
      <c r="N76" s="20" t="n">
        <v>0</v>
      </c>
      <c r="O76" s="18" t="n">
        <v>0</v>
      </c>
      <c r="P76" s="20" t="n">
        <v>0</v>
      </c>
      <c r="Q76" s="18" t="n">
        <v>0</v>
      </c>
      <c r="R76" s="20" t="n">
        <v>0</v>
      </c>
    </row>
    <row r="77" spans="1:18">
      <c r="A77" s="15" t="s">
        <v>419</v>
      </c>
      <c r="B77" s="17" t="n">
        <v>3154</v>
      </c>
      <c r="C77" s="18">
        <f>(2808.0/B77*100)</f>
        <v/>
      </c>
      <c r="D77" s="19" t="n">
        <v>346</v>
      </c>
      <c r="E77" s="18" t="n">
        <v>66.91712781</v>
      </c>
      <c r="F77" s="20" t="n">
        <v>3.0530732</v>
      </c>
      <c r="G77" s="18" t="n">
        <v>29.38910286</v>
      </c>
      <c r="H77" s="20" t="n">
        <v>2.78366278</v>
      </c>
      <c r="I77" s="18" t="s">
        <v>349</v>
      </c>
      <c r="J77" s="20" t="s">
        <v>349</v>
      </c>
      <c r="K77" s="18" t="n">
        <v>3.69376933</v>
      </c>
      <c r="L77" s="20" t="n">
        <v>1.1097666</v>
      </c>
      <c r="M77" s="18" t="n">
        <v>0</v>
      </c>
      <c r="N77" s="20" t="n">
        <v>0</v>
      </c>
      <c r="O77" s="18" t="n">
        <v>0</v>
      </c>
      <c r="P77" s="20" t="n">
        <v>0</v>
      </c>
      <c r="Q77" s="18" t="n">
        <v>0</v>
      </c>
      <c r="R77" s="20" t="n">
        <v>0</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(4132.0/B81*100)</f>
        <v/>
      </c>
      <c r="D81" s="19" t="n">
        <v>566</v>
      </c>
      <c r="E81" s="18" t="n">
        <v>74.25482371</v>
      </c>
      <c r="F81" s="20" t="n">
        <v>2.51183879</v>
      </c>
      <c r="G81" s="18" t="n">
        <v>25.49160296</v>
      </c>
      <c r="H81" s="20" t="n">
        <v>2.42329579</v>
      </c>
      <c r="I81" s="18" t="s">
        <v>349</v>
      </c>
      <c r="J81" s="20" t="s">
        <v>349</v>
      </c>
      <c r="K81" s="18" t="n">
        <v>0.25357332</v>
      </c>
      <c r="L81" s="20" t="n">
        <v>0.24080968</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(6303.0/B7*100)</f>
        <v/>
      </c>
      <c r="D7" s="19" t="n">
        <v>860</v>
      </c>
      <c r="E7" s="18" t="n">
        <v>32.59508666</v>
      </c>
      <c r="F7" s="20" t="n">
        <v>1.75805097</v>
      </c>
      <c r="G7" s="18" t="n">
        <v>66.66342659</v>
      </c>
      <c r="H7" s="20" t="n">
        <v>1.76795881</v>
      </c>
      <c r="I7" s="18" t="s">
        <v>349</v>
      </c>
      <c r="J7" s="20" t="s">
        <v>349</v>
      </c>
      <c r="K7" s="18" t="n">
        <v>0.52698433</v>
      </c>
      <c r="L7" s="20" t="n">
        <v>0.28759452</v>
      </c>
      <c r="M7" s="18" t="n">
        <v>0</v>
      </c>
      <c r="N7" s="20" t="n">
        <v>0</v>
      </c>
      <c r="O7" s="18" t="n">
        <v>0</v>
      </c>
      <c r="P7" s="20" t="n">
        <v>0</v>
      </c>
      <c r="Q7" s="18" t="n">
        <v>0.21450241</v>
      </c>
      <c r="R7" s="20" t="n">
        <v>0.17474276</v>
      </c>
    </row>
    <row r="8" spans="1:18">
      <c r="A8" s="15" t="s">
        <v>350</v>
      </c>
      <c r="B8" s="17" t="n">
        <v>3443</v>
      </c>
      <c r="C8" s="18">
        <f>(3031.0/B8*100)</f>
        <v/>
      </c>
      <c r="D8" s="19" t="n">
        <v>412</v>
      </c>
      <c r="E8" s="18" t="n">
        <v>29.01472177</v>
      </c>
      <c r="F8" s="20" t="n">
        <v>2.44614616</v>
      </c>
      <c r="G8" s="18" t="n">
        <v>70.38605359</v>
      </c>
      <c r="H8" s="20" t="n">
        <v>2.53052298</v>
      </c>
      <c r="I8" s="18" t="s">
        <v>349</v>
      </c>
      <c r="J8" s="20" t="s">
        <v>349</v>
      </c>
      <c r="K8" s="18" t="n">
        <v>0</v>
      </c>
      <c r="L8" s="20" t="n">
        <v>0</v>
      </c>
      <c r="M8" s="18" t="n">
        <v>0</v>
      </c>
      <c r="N8" s="20" t="n">
        <v>0</v>
      </c>
      <c r="O8" s="18" t="n">
        <v>0</v>
      </c>
      <c r="P8" s="20" t="n">
        <v>0</v>
      </c>
      <c r="Q8" s="18" t="n">
        <v>0.59922464</v>
      </c>
      <c r="R8" s="20" t="n">
        <v>0.61479884</v>
      </c>
    </row>
    <row r="9" spans="1:18">
      <c r="A9" s="15" t="s">
        <v>351</v>
      </c>
      <c r="B9" s="17" t="n">
        <v>4752</v>
      </c>
      <c r="C9" s="18">
        <f>(4174.0/B9*100)</f>
        <v/>
      </c>
      <c r="D9" s="19" t="n">
        <v>578</v>
      </c>
      <c r="E9" s="18" t="n">
        <v>26.86542139</v>
      </c>
      <c r="F9" s="20" t="n">
        <v>1.98119605</v>
      </c>
      <c r="G9" s="18" t="n">
        <v>72.62883823999999</v>
      </c>
      <c r="H9" s="20" t="n">
        <v>1.96140524</v>
      </c>
      <c r="I9" s="18" t="s">
        <v>349</v>
      </c>
      <c r="J9" s="20" t="s">
        <v>349</v>
      </c>
      <c r="K9" s="18" t="n">
        <v>0</v>
      </c>
      <c r="L9" s="20" t="n">
        <v>0</v>
      </c>
      <c r="M9" s="18" t="n">
        <v>0</v>
      </c>
      <c r="N9" s="20" t="n">
        <v>0</v>
      </c>
      <c r="O9" s="18" t="n">
        <v>0</v>
      </c>
      <c r="P9" s="20" t="n">
        <v>0</v>
      </c>
      <c r="Q9" s="18" t="n">
        <v>0.50574038</v>
      </c>
      <c r="R9" s="20" t="n">
        <v>0.30685597</v>
      </c>
    </row>
    <row r="10" spans="1:18">
      <c r="A10" s="15" t="s">
        <v>352</v>
      </c>
      <c r="B10" s="17" t="n">
        <v>10022</v>
      </c>
      <c r="C10" s="18">
        <f>(8778.0/B10*100)</f>
        <v/>
      </c>
      <c r="D10" s="19" t="n">
        <v>1244</v>
      </c>
      <c r="E10" s="18" t="n">
        <v>34.16179485</v>
      </c>
      <c r="F10" s="20" t="n">
        <v>1.82686154</v>
      </c>
      <c r="G10" s="18" t="n">
        <v>65.60337635</v>
      </c>
      <c r="H10" s="20" t="n">
        <v>1.83101472</v>
      </c>
      <c r="I10" s="18" t="s">
        <v>349</v>
      </c>
      <c r="J10" s="20" t="s">
        <v>349</v>
      </c>
      <c r="K10" s="18" t="n">
        <v>0.06451485999999999</v>
      </c>
      <c r="L10" s="20" t="n">
        <v>0.04877865</v>
      </c>
      <c r="M10" s="18" t="n">
        <v>0</v>
      </c>
      <c r="N10" s="20" t="n">
        <v>0</v>
      </c>
      <c r="O10" s="18" t="n">
        <v>0</v>
      </c>
      <c r="P10" s="20" t="n">
        <v>0</v>
      </c>
      <c r="Q10" s="18" t="n">
        <v>0.17031394</v>
      </c>
      <c r="R10" s="20" t="n">
        <v>0.09722161</v>
      </c>
    </row>
    <row r="11" spans="1:18">
      <c r="A11" s="15" t="s">
        <v>353</v>
      </c>
      <c r="B11" s="17" t="n">
        <v>3500</v>
      </c>
      <c r="C11" s="18">
        <f>(3077.0/B11*100)</f>
        <v/>
      </c>
      <c r="D11" s="19" t="n">
        <v>423</v>
      </c>
      <c r="E11" s="18" t="n">
        <v>57.61164848</v>
      </c>
      <c r="F11" s="20" t="n">
        <v>2.45283306</v>
      </c>
      <c r="G11" s="18" t="n">
        <v>40.70720492</v>
      </c>
      <c r="H11" s="20" t="n">
        <v>2.40202062</v>
      </c>
      <c r="I11" s="18" t="s">
        <v>349</v>
      </c>
      <c r="J11" s="20" t="s">
        <v>349</v>
      </c>
      <c r="K11" s="18" t="n">
        <v>0.30457078</v>
      </c>
      <c r="L11" s="20" t="n">
        <v>0.30003505</v>
      </c>
      <c r="M11" s="18" t="n">
        <v>0</v>
      </c>
      <c r="N11" s="20" t="n">
        <v>0</v>
      </c>
      <c r="O11" s="18" t="n">
        <v>0</v>
      </c>
      <c r="P11" s="20" t="n">
        <v>0</v>
      </c>
      <c r="Q11" s="18" t="n">
        <v>1.37657582</v>
      </c>
      <c r="R11" s="20" t="n">
        <v>0.66926931</v>
      </c>
    </row>
    <row r="12" spans="1:18">
      <c r="A12" s="15" t="s">
        <v>354</v>
      </c>
      <c r="B12" s="17" t="n">
        <v>3422</v>
      </c>
      <c r="C12" s="18">
        <f>(2976.0/B12*100)</f>
        <v/>
      </c>
      <c r="D12" s="19" t="n">
        <v>446</v>
      </c>
      <c r="E12" s="18" t="n">
        <v>28.24296497</v>
      </c>
      <c r="F12" s="20" t="n">
        <v>2.51740564</v>
      </c>
      <c r="G12" s="18" t="n">
        <v>70.9545201</v>
      </c>
      <c r="H12" s="20" t="n">
        <v>2.43594034</v>
      </c>
      <c r="I12" s="18" t="s">
        <v>349</v>
      </c>
      <c r="J12" s="20" t="s">
        <v>349</v>
      </c>
      <c r="K12" s="18" t="n">
        <v>0</v>
      </c>
      <c r="L12" s="20" t="n">
        <v>0</v>
      </c>
      <c r="M12" s="18" t="n">
        <v>0</v>
      </c>
      <c r="N12" s="20" t="n">
        <v>0</v>
      </c>
      <c r="O12" s="18" t="n">
        <v>0</v>
      </c>
      <c r="P12" s="20" t="n">
        <v>0</v>
      </c>
      <c r="Q12" s="18" t="n">
        <v>0.80251493</v>
      </c>
      <c r="R12" s="20" t="n">
        <v>0.40948067</v>
      </c>
    </row>
    <row r="13" spans="1:18">
      <c r="A13" s="15" t="s">
        <v>355</v>
      </c>
      <c r="B13" s="17" t="n">
        <v>3602</v>
      </c>
      <c r="C13" s="18">
        <f>(3155.0/B13*100)</f>
        <v/>
      </c>
      <c r="D13" s="19" t="n">
        <v>447</v>
      </c>
      <c r="E13" s="18" t="n">
        <v>30.28934981</v>
      </c>
      <c r="F13" s="20" t="n">
        <v>2.82082894</v>
      </c>
      <c r="G13" s="18" t="n">
        <v>69.04063889</v>
      </c>
      <c r="H13" s="20" t="n">
        <v>2.78827486</v>
      </c>
      <c r="I13" s="18" t="s">
        <v>349</v>
      </c>
      <c r="J13" s="20" t="s">
        <v>349</v>
      </c>
      <c r="K13" s="18" t="n">
        <v>0.55062965</v>
      </c>
      <c r="L13" s="20" t="n">
        <v>0.47148005</v>
      </c>
      <c r="M13" s="18" t="n">
        <v>0</v>
      </c>
      <c r="N13" s="20" t="n">
        <v>0</v>
      </c>
      <c r="O13" s="18" t="n">
        <v>0</v>
      </c>
      <c r="P13" s="20" t="n">
        <v>0</v>
      </c>
      <c r="Q13" s="18" t="n">
        <v>0.11938165</v>
      </c>
      <c r="R13" s="20" t="n">
        <v>0.12119679</v>
      </c>
    </row>
    <row r="14" spans="1:18">
      <c r="A14" s="15" t="s">
        <v>356</v>
      </c>
      <c r="B14" s="17" t="n">
        <v>2788</v>
      </c>
      <c r="C14" s="18">
        <f>(2424.0/B14*100)</f>
        <v/>
      </c>
      <c r="D14" s="19" t="n">
        <v>364</v>
      </c>
      <c r="E14" s="18" t="n">
        <v>28.09691353</v>
      </c>
      <c r="F14" s="20" t="n">
        <v>2.44675878</v>
      </c>
      <c r="G14" s="18" t="n">
        <v>71.67950322999999</v>
      </c>
      <c r="H14" s="20" t="n">
        <v>2.44717455</v>
      </c>
      <c r="I14" s="18" t="s">
        <v>349</v>
      </c>
      <c r="J14" s="20" t="s">
        <v>349</v>
      </c>
      <c r="K14" s="18" t="n">
        <v>0</v>
      </c>
      <c r="L14" s="20" t="n">
        <v>0</v>
      </c>
      <c r="M14" s="18" t="n">
        <v>0</v>
      </c>
      <c r="N14" s="20" t="n">
        <v>0</v>
      </c>
      <c r="O14" s="18" t="n">
        <v>0</v>
      </c>
      <c r="P14" s="20" t="n">
        <v>0</v>
      </c>
      <c r="Q14" s="18" t="n">
        <v>0.22358324</v>
      </c>
      <c r="R14" s="20" t="n">
        <v>0.22310883</v>
      </c>
    </row>
    <row r="15" spans="1:18">
      <c r="A15" s="15" t="s">
        <v>357</v>
      </c>
      <c r="B15" s="17" t="n">
        <v>2863</v>
      </c>
      <c r="C15" s="18">
        <f>(2512.0/B15*100)</f>
        <v/>
      </c>
      <c r="D15" s="19" t="n">
        <v>351</v>
      </c>
      <c r="E15" s="18" t="n">
        <v>18.96790717</v>
      </c>
      <c r="F15" s="20" t="n">
        <v>1.96514483</v>
      </c>
      <c r="G15" s="18" t="n">
        <v>80.75726856999999</v>
      </c>
      <c r="H15" s="20" t="n">
        <v>1.97324058</v>
      </c>
      <c r="I15" s="18" t="s">
        <v>349</v>
      </c>
      <c r="J15" s="20" t="s">
        <v>349</v>
      </c>
      <c r="K15" s="18" t="n">
        <v>0</v>
      </c>
      <c r="L15" s="20" t="n">
        <v>0</v>
      </c>
      <c r="M15" s="18" t="n">
        <v>0</v>
      </c>
      <c r="N15" s="20" t="n">
        <v>0</v>
      </c>
      <c r="O15" s="18" t="n">
        <v>0</v>
      </c>
      <c r="P15" s="20" t="n">
        <v>0</v>
      </c>
      <c r="Q15" s="18" t="n">
        <v>0.27482426</v>
      </c>
      <c r="R15" s="20" t="n">
        <v>0.28374463</v>
      </c>
    </row>
    <row r="16" spans="1:18">
      <c r="A16" s="15" t="s">
        <v>358</v>
      </c>
      <c r="B16" s="17" t="n">
        <v>3111</v>
      </c>
      <c r="C16" s="18">
        <f>(2741.0/B16*100)</f>
        <v/>
      </c>
      <c r="D16" s="19" t="n">
        <v>370</v>
      </c>
      <c r="E16" s="18" t="n">
        <v>32.20819392</v>
      </c>
      <c r="F16" s="20" t="n">
        <v>2.35554335</v>
      </c>
      <c r="G16" s="18" t="n">
        <v>65.68670167000001</v>
      </c>
      <c r="H16" s="20" t="n">
        <v>2.52253452</v>
      </c>
      <c r="I16" s="18" t="s">
        <v>349</v>
      </c>
      <c r="J16" s="20" t="s">
        <v>349</v>
      </c>
      <c r="K16" s="18" t="n">
        <v>0.29369554</v>
      </c>
      <c r="L16" s="20" t="n">
        <v>0.22027634</v>
      </c>
      <c r="M16" s="18" t="n">
        <v>0</v>
      </c>
      <c r="N16" s="20" t="n">
        <v>0</v>
      </c>
      <c r="O16" s="18" t="n">
        <v>0</v>
      </c>
      <c r="P16" s="20" t="n">
        <v>0</v>
      </c>
      <c r="Q16" s="18" t="n">
        <v>1.81140887</v>
      </c>
      <c r="R16" s="20" t="n">
        <v>0.77313045</v>
      </c>
    </row>
    <row r="17" spans="1:18">
      <c r="A17" s="15" t="s">
        <v>359</v>
      </c>
      <c r="B17" s="17" t="n">
        <v>3197</v>
      </c>
      <c r="C17" s="18">
        <f>(2818.0/B17*100)</f>
        <v/>
      </c>
      <c r="D17" s="19" t="n">
        <v>379</v>
      </c>
      <c r="E17" s="18" t="n">
        <v>30.08347105</v>
      </c>
      <c r="F17" s="20" t="n">
        <v>2.58114337</v>
      </c>
      <c r="G17" s="18" t="n">
        <v>69.09202838</v>
      </c>
      <c r="H17" s="20" t="n">
        <v>2.58800459</v>
      </c>
      <c r="I17" s="18" t="s">
        <v>349</v>
      </c>
      <c r="J17" s="20" t="s">
        <v>349</v>
      </c>
      <c r="K17" s="18" t="n">
        <v>0</v>
      </c>
      <c r="L17" s="20" t="n">
        <v>0</v>
      </c>
      <c r="M17" s="18" t="n">
        <v>0</v>
      </c>
      <c r="N17" s="20" t="n">
        <v>0</v>
      </c>
      <c r="O17" s="18" t="n">
        <v>0</v>
      </c>
      <c r="P17" s="20" t="n">
        <v>0</v>
      </c>
      <c r="Q17" s="18" t="n">
        <v>0.82450057</v>
      </c>
      <c r="R17" s="20" t="n">
        <v>0.43050344</v>
      </c>
    </row>
    <row r="18" spans="1:18">
      <c r="A18" s="15" t="s">
        <v>360</v>
      </c>
      <c r="B18" s="17" t="n">
        <v>2706</v>
      </c>
      <c r="C18" s="18">
        <f>(2365.0/B18*100)</f>
        <v/>
      </c>
      <c r="D18" s="19" t="n">
        <v>341</v>
      </c>
      <c r="E18" s="18" t="n">
        <v>48.41683154</v>
      </c>
      <c r="F18" s="20" t="n">
        <v>2.93323936</v>
      </c>
      <c r="G18" s="18" t="n">
        <v>49.74535026</v>
      </c>
      <c r="H18" s="20" t="n">
        <v>2.98920916</v>
      </c>
      <c r="I18" s="18" t="s">
        <v>349</v>
      </c>
      <c r="J18" s="20" t="s">
        <v>349</v>
      </c>
      <c r="K18" s="18" t="n">
        <v>0</v>
      </c>
      <c r="L18" s="20" t="n">
        <v>0</v>
      </c>
      <c r="M18" s="18" t="n">
        <v>0</v>
      </c>
      <c r="N18" s="20" t="n">
        <v>0</v>
      </c>
      <c r="O18" s="18" t="n">
        <v>0</v>
      </c>
      <c r="P18" s="20" t="n">
        <v>0</v>
      </c>
      <c r="Q18" s="18" t="n">
        <v>1.8378182</v>
      </c>
      <c r="R18" s="20" t="n">
        <v>0.70705555</v>
      </c>
    </row>
    <row r="19" spans="1:18">
      <c r="A19" s="15" t="s">
        <v>361</v>
      </c>
      <c r="B19" s="17" t="n">
        <v>2850</v>
      </c>
      <c r="C19" s="18">
        <f>(2491.0/B19*100)</f>
        <v/>
      </c>
      <c r="D19" s="19" t="n">
        <v>359</v>
      </c>
      <c r="E19" s="18" t="n">
        <v>36.28507352</v>
      </c>
      <c r="F19" s="20" t="n">
        <v>3.00847531</v>
      </c>
      <c r="G19" s="18" t="n">
        <v>62.85179039</v>
      </c>
      <c r="H19" s="20" t="n">
        <v>3.02244554</v>
      </c>
      <c r="I19" s="18" t="s">
        <v>349</v>
      </c>
      <c r="J19" s="20" t="s">
        <v>349</v>
      </c>
      <c r="K19" s="18" t="n">
        <v>0.29326665</v>
      </c>
      <c r="L19" s="20" t="n">
        <v>0.29269394</v>
      </c>
      <c r="M19" s="18" t="n">
        <v>0</v>
      </c>
      <c r="N19" s="20" t="n">
        <v>0</v>
      </c>
      <c r="O19" s="18" t="n">
        <v>0</v>
      </c>
      <c r="P19" s="20" t="n">
        <v>0</v>
      </c>
      <c r="Q19" s="18" t="n">
        <v>0.5698694399999999</v>
      </c>
      <c r="R19" s="20" t="n">
        <v>0.38922483</v>
      </c>
    </row>
    <row r="20" spans="1:18">
      <c r="A20" s="15" t="s">
        <v>362</v>
      </c>
      <c r="B20" s="17" t="n">
        <v>1741</v>
      </c>
      <c r="C20" s="18">
        <f>(1533.0/B20*100)</f>
        <v/>
      </c>
      <c r="D20" s="19" t="n">
        <v>208</v>
      </c>
      <c r="E20" s="18" t="n">
        <v>29.84644322</v>
      </c>
      <c r="F20" s="20" t="n">
        <v>3.47539264</v>
      </c>
      <c r="G20" s="18" t="n">
        <v>68.8379463</v>
      </c>
      <c r="H20" s="20" t="n">
        <v>3.41995398</v>
      </c>
      <c r="I20" s="18" t="s">
        <v>349</v>
      </c>
      <c r="J20" s="20" t="s">
        <v>349</v>
      </c>
      <c r="K20" s="18" t="n">
        <v>0.40765303</v>
      </c>
      <c r="L20" s="20" t="n">
        <v>0.40703963</v>
      </c>
      <c r="M20" s="18" t="n">
        <v>0</v>
      </c>
      <c r="N20" s="20" t="n">
        <v>0</v>
      </c>
      <c r="O20" s="18" t="n">
        <v>0</v>
      </c>
      <c r="P20" s="20" t="n">
        <v>0</v>
      </c>
      <c r="Q20" s="18" t="n">
        <v>0.9079574500000001</v>
      </c>
      <c r="R20" s="20" t="n">
        <v>0.6358572300000001</v>
      </c>
    </row>
    <row r="21" spans="1:18">
      <c r="A21" s="15" t="s">
        <v>363</v>
      </c>
      <c r="B21" s="17" t="n">
        <v>2833</v>
      </c>
      <c r="C21" s="18">
        <f>(2358.0/B21*100)</f>
        <v/>
      </c>
      <c r="D21" s="19" t="n">
        <v>475</v>
      </c>
      <c r="E21" s="18" t="n">
        <v>42.68440214</v>
      </c>
      <c r="F21" s="20" t="n">
        <v>2.91970617</v>
      </c>
      <c r="G21" s="18" t="n">
        <v>56.54964101</v>
      </c>
      <c r="H21" s="20" t="n">
        <v>2.95992494</v>
      </c>
      <c r="I21" s="18" t="s">
        <v>349</v>
      </c>
      <c r="J21" s="20" t="s">
        <v>349</v>
      </c>
      <c r="K21" s="18" t="n">
        <v>0</v>
      </c>
      <c r="L21" s="20" t="n">
        <v>0</v>
      </c>
      <c r="M21" s="18" t="n">
        <v>0</v>
      </c>
      <c r="N21" s="20" t="n">
        <v>0</v>
      </c>
      <c r="O21" s="18" t="n">
        <v>0</v>
      </c>
      <c r="P21" s="20" t="n">
        <v>0</v>
      </c>
      <c r="Q21" s="18" t="n">
        <v>0.76595685</v>
      </c>
      <c r="R21" s="20" t="n">
        <v>0.40057286</v>
      </c>
    </row>
    <row r="22" spans="1:18">
      <c r="A22" s="15" t="s">
        <v>364</v>
      </c>
      <c r="B22" s="17" t="n">
        <v>3667</v>
      </c>
      <c r="C22" s="18">
        <f>(3198.0/B22*100)</f>
        <v/>
      </c>
      <c r="D22" s="19" t="n">
        <v>469</v>
      </c>
      <c r="E22" s="18" t="n">
        <v>40.85072894</v>
      </c>
      <c r="F22" s="20" t="n">
        <v>2.16988367</v>
      </c>
      <c r="G22" s="18" t="n">
        <v>56.94119593</v>
      </c>
      <c r="H22" s="20" t="n">
        <v>2.13442893</v>
      </c>
      <c r="I22" s="18" t="s">
        <v>349</v>
      </c>
      <c r="J22" s="20" t="s">
        <v>349</v>
      </c>
      <c r="K22" s="18" t="n">
        <v>0.36158845</v>
      </c>
      <c r="L22" s="20" t="n">
        <v>0.25601734</v>
      </c>
      <c r="M22" s="18" t="n">
        <v>0</v>
      </c>
      <c r="N22" s="20" t="n">
        <v>0</v>
      </c>
      <c r="O22" s="18" t="n">
        <v>0</v>
      </c>
      <c r="P22" s="20" t="n">
        <v>0</v>
      </c>
      <c r="Q22" s="18" t="n">
        <v>1.84648668</v>
      </c>
      <c r="R22" s="20" t="n">
        <v>0.65251435</v>
      </c>
    </row>
    <row r="23" spans="1:18">
      <c r="A23" s="15" t="s">
        <v>365</v>
      </c>
      <c r="B23" s="17" t="n">
        <v>5792</v>
      </c>
      <c r="C23" s="18">
        <f>(5090.0/B23*100)</f>
        <v/>
      </c>
      <c r="D23" s="19" t="n">
        <v>702</v>
      </c>
      <c r="E23" s="18" t="n">
        <v>35.93427636</v>
      </c>
      <c r="F23" s="20" t="n">
        <v>3.37095898</v>
      </c>
      <c r="G23" s="18" t="n">
        <v>62.72445738</v>
      </c>
      <c r="H23" s="20" t="n">
        <v>3.36749833</v>
      </c>
      <c r="I23" s="18" t="s">
        <v>349</v>
      </c>
      <c r="J23" s="20" t="s">
        <v>349</v>
      </c>
      <c r="K23" s="18" t="n">
        <v>0.17267436</v>
      </c>
      <c r="L23" s="20" t="n">
        <v>0.16754037</v>
      </c>
      <c r="M23" s="18" t="n">
        <v>0</v>
      </c>
      <c r="N23" s="20" t="n">
        <v>0</v>
      </c>
      <c r="O23" s="18" t="n">
        <v>0</v>
      </c>
      <c r="P23" s="20" t="n">
        <v>0</v>
      </c>
      <c r="Q23" s="18" t="n">
        <v>1.1685919</v>
      </c>
      <c r="R23" s="20" t="n">
        <v>0.5518877</v>
      </c>
    </row>
    <row r="24" spans="1:18">
      <c r="A24" s="15" t="s">
        <v>366</v>
      </c>
      <c r="B24" s="17" t="n">
        <v>3309</v>
      </c>
      <c r="C24" s="18">
        <f>(2903.0/B24*100)</f>
        <v/>
      </c>
      <c r="D24" s="19" t="n">
        <v>406</v>
      </c>
      <c r="E24" s="18" t="n">
        <v>18.39535715</v>
      </c>
      <c r="F24" s="20" t="n">
        <v>1.92393655</v>
      </c>
      <c r="G24" s="18" t="n">
        <v>81.35692483</v>
      </c>
      <c r="H24" s="20" t="n">
        <v>1.85743713</v>
      </c>
      <c r="I24" s="18" t="s">
        <v>349</v>
      </c>
      <c r="J24" s="20" t="s">
        <v>349</v>
      </c>
      <c r="K24" s="18" t="n">
        <v>0</v>
      </c>
      <c r="L24" s="20" t="n">
        <v>0</v>
      </c>
      <c r="M24" s="18" t="n">
        <v>0</v>
      </c>
      <c r="N24" s="20" t="n">
        <v>0</v>
      </c>
      <c r="O24" s="18" t="n">
        <v>0</v>
      </c>
      <c r="P24" s="20" t="n">
        <v>0</v>
      </c>
      <c r="Q24" s="18" t="n">
        <v>0.24771802</v>
      </c>
      <c r="R24" s="20" t="n">
        <v>0.24884783</v>
      </c>
    </row>
    <row r="25" spans="1:18">
      <c r="A25" s="15" t="s">
        <v>367</v>
      </c>
      <c r="B25" s="17" t="n">
        <v>2669</v>
      </c>
      <c r="C25" s="18">
        <f>(2330.0/B25*100)</f>
        <v/>
      </c>
      <c r="D25" s="19" t="n">
        <v>339</v>
      </c>
      <c r="E25" s="18" t="n">
        <v>19.15873122</v>
      </c>
      <c r="F25" s="20" t="n">
        <v>2.50731448</v>
      </c>
      <c r="G25" s="18" t="n">
        <v>80.18604683</v>
      </c>
      <c r="H25" s="20" t="n">
        <v>2.50747744</v>
      </c>
      <c r="I25" s="18" t="s">
        <v>349</v>
      </c>
      <c r="J25" s="20" t="s">
        <v>349</v>
      </c>
      <c r="K25" s="18" t="n">
        <v>0</v>
      </c>
      <c r="L25" s="20" t="n">
        <v>0</v>
      </c>
      <c r="M25" s="18" t="n">
        <v>0</v>
      </c>
      <c r="N25" s="20" t="n">
        <v>0</v>
      </c>
      <c r="O25" s="18" t="n">
        <v>0</v>
      </c>
      <c r="P25" s="20" t="n">
        <v>0</v>
      </c>
      <c r="Q25" s="18" t="n">
        <v>0.6552219500000001</v>
      </c>
      <c r="R25" s="20" t="n">
        <v>0.46494341</v>
      </c>
    </row>
    <row r="26" spans="1:18">
      <c r="A26" s="15" t="s">
        <v>368</v>
      </c>
      <c r="B26" s="17" t="n">
        <v>2419</v>
      </c>
      <c r="C26" s="18">
        <f>(2129.0/B26*100)</f>
        <v/>
      </c>
      <c r="D26" s="19" t="n">
        <v>290</v>
      </c>
      <c r="E26" s="18" t="n">
        <v>36.09115255</v>
      </c>
      <c r="F26" s="20" t="n">
        <v>2.61802268</v>
      </c>
      <c r="G26" s="18" t="n">
        <v>63.60661325</v>
      </c>
      <c r="H26" s="20" t="n">
        <v>2.61515592</v>
      </c>
      <c r="I26" s="18" t="s">
        <v>349</v>
      </c>
      <c r="J26" s="20" t="s">
        <v>349</v>
      </c>
      <c r="K26" s="18" t="n">
        <v>0</v>
      </c>
      <c r="L26" s="20" t="n">
        <v>0</v>
      </c>
      <c r="M26" s="18" t="n">
        <v>0</v>
      </c>
      <c r="N26" s="20" t="n">
        <v>0</v>
      </c>
      <c r="O26" s="18" t="n">
        <v>0</v>
      </c>
      <c r="P26" s="20" t="n">
        <v>0</v>
      </c>
      <c r="Q26" s="18" t="n">
        <v>0.3022342</v>
      </c>
      <c r="R26" s="20" t="n">
        <v>0.30476517</v>
      </c>
    </row>
    <row r="27" spans="1:18">
      <c r="A27" s="15" t="s">
        <v>369</v>
      </c>
      <c r="B27" s="17" t="n">
        <v>2683</v>
      </c>
      <c r="C27" s="18">
        <f>(2355.0/B27*100)</f>
        <v/>
      </c>
      <c r="D27" s="19" t="n">
        <v>328</v>
      </c>
      <c r="E27" s="18" t="n">
        <v>39.99149291</v>
      </c>
      <c r="F27" s="20" t="n">
        <v>2.59617707</v>
      </c>
      <c r="G27" s="18" t="n">
        <v>59.08851751</v>
      </c>
      <c r="H27" s="20" t="n">
        <v>2.61816154</v>
      </c>
      <c r="I27" s="18" t="s">
        <v>349</v>
      </c>
      <c r="J27" s="20" t="s">
        <v>349</v>
      </c>
      <c r="K27" s="18" t="n">
        <v>0</v>
      </c>
      <c r="L27" s="20" t="n">
        <v>0</v>
      </c>
      <c r="M27" s="18" t="n">
        <v>0</v>
      </c>
      <c r="N27" s="20" t="n">
        <v>0</v>
      </c>
      <c r="O27" s="18" t="n">
        <v>0</v>
      </c>
      <c r="P27" s="20" t="n">
        <v>0</v>
      </c>
      <c r="Q27" s="18" t="n">
        <v>0.91998958</v>
      </c>
      <c r="R27" s="20" t="n">
        <v>0.52441015</v>
      </c>
    </row>
    <row r="28" spans="1:18">
      <c r="A28" s="15" t="s">
        <v>370</v>
      </c>
      <c r="B28" s="17" t="n">
        <v>3803</v>
      </c>
      <c r="C28" s="18">
        <f>(3351.0/B28*100)</f>
        <v/>
      </c>
      <c r="D28" s="19" t="n">
        <v>452</v>
      </c>
      <c r="E28" s="18" t="n">
        <v>56.97231467</v>
      </c>
      <c r="F28" s="20" t="n">
        <v>2.41781767</v>
      </c>
      <c r="G28" s="18" t="n">
        <v>38.1167449</v>
      </c>
      <c r="H28" s="20" t="n">
        <v>2.37001491</v>
      </c>
      <c r="I28" s="18" t="s">
        <v>349</v>
      </c>
      <c r="J28" s="20" t="s">
        <v>349</v>
      </c>
      <c r="K28" s="18" t="n">
        <v>0.65439646</v>
      </c>
      <c r="L28" s="20" t="n">
        <v>0.46941623</v>
      </c>
      <c r="M28" s="18" t="n">
        <v>0</v>
      </c>
      <c r="N28" s="20" t="n">
        <v>0</v>
      </c>
      <c r="O28" s="18" t="n">
        <v>0</v>
      </c>
      <c r="P28" s="20" t="n">
        <v>0</v>
      </c>
      <c r="Q28" s="18" t="n">
        <v>4.25654397</v>
      </c>
      <c r="R28" s="20" t="n">
        <v>1.12150854</v>
      </c>
    </row>
    <row r="29" spans="1:18">
      <c r="A29" s="15" t="s">
        <v>371</v>
      </c>
      <c r="B29" s="17" t="n">
        <v>2700</v>
      </c>
      <c r="C29" s="18">
        <f>(2358.0/B29*100)</f>
        <v/>
      </c>
      <c r="D29" s="19" t="n">
        <v>342</v>
      </c>
      <c r="E29" s="18" t="n">
        <v>24.32385247</v>
      </c>
      <c r="F29" s="20" t="n">
        <v>1.88762248</v>
      </c>
      <c r="G29" s="18" t="n">
        <v>75.1697307</v>
      </c>
      <c r="H29" s="20" t="n">
        <v>1.92778876</v>
      </c>
      <c r="I29" s="18" t="s">
        <v>349</v>
      </c>
      <c r="J29" s="20" t="s">
        <v>349</v>
      </c>
      <c r="K29" s="18" t="n">
        <v>0.38060431</v>
      </c>
      <c r="L29" s="20" t="n">
        <v>0.29319164</v>
      </c>
      <c r="M29" s="18" t="n">
        <v>0</v>
      </c>
      <c r="N29" s="20" t="n">
        <v>0</v>
      </c>
      <c r="O29" s="18" t="n">
        <v>0</v>
      </c>
      <c r="P29" s="20" t="n">
        <v>0</v>
      </c>
      <c r="Q29" s="18" t="n">
        <v>0.12581253</v>
      </c>
      <c r="R29" s="20" t="n">
        <v>0.11918262</v>
      </c>
    </row>
    <row r="30" spans="1:18">
      <c r="A30" s="15" t="s">
        <v>372</v>
      </c>
      <c r="B30" s="17" t="n">
        <v>2257</v>
      </c>
      <c r="C30" s="18">
        <f>(1972.0/B30*100)</f>
        <v/>
      </c>
      <c r="D30" s="19" t="n">
        <v>285</v>
      </c>
      <c r="E30" s="18" t="n">
        <v>30.16316447</v>
      </c>
      <c r="F30" s="20" t="n">
        <v>2.75976058</v>
      </c>
      <c r="G30" s="18" t="n">
        <v>69.04269738000001</v>
      </c>
      <c r="H30" s="20" t="n">
        <v>2.68660608</v>
      </c>
      <c r="I30" s="18" t="s">
        <v>349</v>
      </c>
      <c r="J30" s="20" t="s">
        <v>349</v>
      </c>
      <c r="K30" s="18" t="n">
        <v>0</v>
      </c>
      <c r="L30" s="20" t="n">
        <v>0</v>
      </c>
      <c r="M30" s="18" t="n">
        <v>0</v>
      </c>
      <c r="N30" s="20" t="n">
        <v>0</v>
      </c>
      <c r="O30" s="18" t="n">
        <v>0</v>
      </c>
      <c r="P30" s="20" t="n">
        <v>0</v>
      </c>
      <c r="Q30" s="18" t="n">
        <v>0.79413816</v>
      </c>
      <c r="R30" s="20" t="n">
        <v>0.54050407</v>
      </c>
    </row>
    <row r="31" spans="1:18">
      <c r="A31" s="15" t="s">
        <v>373</v>
      </c>
      <c r="B31" s="17" t="n">
        <v>2706</v>
      </c>
      <c r="C31" s="18">
        <f>(2386.0/B31*100)</f>
        <v/>
      </c>
      <c r="D31" s="19" t="n">
        <v>320</v>
      </c>
      <c r="E31" s="18" t="n">
        <v>33.8549106</v>
      </c>
      <c r="F31" s="20" t="n">
        <v>2.97493233</v>
      </c>
      <c r="G31" s="18" t="n">
        <v>64.94840142</v>
      </c>
      <c r="H31" s="20" t="n">
        <v>3.07728006</v>
      </c>
      <c r="I31" s="18" t="s">
        <v>349</v>
      </c>
      <c r="J31" s="20" t="s">
        <v>349</v>
      </c>
      <c r="K31" s="18" t="n">
        <v>0</v>
      </c>
      <c r="L31" s="20" t="n">
        <v>0</v>
      </c>
      <c r="M31" s="18" t="n">
        <v>0</v>
      </c>
      <c r="N31" s="20" t="n">
        <v>0</v>
      </c>
      <c r="O31" s="18" t="n">
        <v>0</v>
      </c>
      <c r="P31" s="20" t="n">
        <v>0</v>
      </c>
      <c r="Q31" s="18" t="n">
        <v>1.19668799</v>
      </c>
      <c r="R31" s="20" t="n">
        <v>0.60096172</v>
      </c>
    </row>
    <row r="32" spans="1:18">
      <c r="A32" s="15" t="s">
        <v>374</v>
      </c>
      <c r="B32" s="17" t="n">
        <v>2209</v>
      </c>
      <c r="C32" s="18">
        <f>(1838.0/B32*100)</f>
        <v/>
      </c>
      <c r="D32" s="19" t="n">
        <v>371</v>
      </c>
      <c r="E32" s="18" t="n">
        <v>38.69640738</v>
      </c>
      <c r="F32" s="20" t="n">
        <v>2.68802448</v>
      </c>
      <c r="G32" s="18" t="n">
        <v>60.79247647</v>
      </c>
      <c r="H32" s="20" t="n">
        <v>2.68845851</v>
      </c>
      <c r="I32" s="18" t="s">
        <v>349</v>
      </c>
      <c r="J32" s="20" t="s">
        <v>349</v>
      </c>
      <c r="K32" s="18" t="n">
        <v>0.25549054</v>
      </c>
      <c r="L32" s="20" t="n">
        <v>0.26770288</v>
      </c>
      <c r="M32" s="18" t="n">
        <v>0</v>
      </c>
      <c r="N32" s="20" t="n">
        <v>0</v>
      </c>
      <c r="O32" s="18" t="n">
        <v>0</v>
      </c>
      <c r="P32" s="20" t="n">
        <v>0</v>
      </c>
      <c r="Q32" s="18" t="n">
        <v>0.25562561</v>
      </c>
      <c r="R32" s="20" t="n">
        <v>0.24329005</v>
      </c>
    </row>
    <row r="33" spans="1:18">
      <c r="A33" s="15" t="s">
        <v>375</v>
      </c>
      <c r="B33" s="17" t="n">
        <v>3651</v>
      </c>
      <c r="C33" s="18">
        <f>(3204.0/B33*100)</f>
        <v/>
      </c>
      <c r="D33" s="19" t="n">
        <v>447</v>
      </c>
      <c r="E33" s="18" t="n">
        <v>39.01733447</v>
      </c>
      <c r="F33" s="20" t="n">
        <v>2.89553084</v>
      </c>
      <c r="G33" s="18" t="n">
        <v>60.56656067</v>
      </c>
      <c r="H33" s="20" t="n">
        <v>2.91914463</v>
      </c>
      <c r="I33" s="18" t="s">
        <v>349</v>
      </c>
      <c r="J33" s="20" t="s">
        <v>349</v>
      </c>
      <c r="K33" s="18" t="n">
        <v>0</v>
      </c>
      <c r="L33" s="20" t="n">
        <v>0</v>
      </c>
      <c r="M33" s="18" t="n">
        <v>0</v>
      </c>
      <c r="N33" s="20" t="n">
        <v>0</v>
      </c>
      <c r="O33" s="18" t="n">
        <v>0</v>
      </c>
      <c r="P33" s="20" t="n">
        <v>0</v>
      </c>
      <c r="Q33" s="18" t="n">
        <v>0.41610486</v>
      </c>
      <c r="R33" s="20" t="n">
        <v>0.28744254</v>
      </c>
    </row>
    <row r="34" spans="1:18">
      <c r="A34" s="15" t="s">
        <v>376</v>
      </c>
      <c r="B34" s="17" t="n">
        <v>3035</v>
      </c>
      <c r="C34" s="18">
        <f>(2669.0/B34*100)</f>
        <v/>
      </c>
      <c r="D34" s="19" t="n">
        <v>366</v>
      </c>
      <c r="E34" s="18" t="n">
        <v>39.31105034</v>
      </c>
      <c r="F34" s="20" t="n">
        <v>2.70580994</v>
      </c>
      <c r="G34" s="18" t="n">
        <v>59.86999653</v>
      </c>
      <c r="H34" s="20" t="n">
        <v>2.65637672</v>
      </c>
      <c r="I34" s="18" t="s">
        <v>349</v>
      </c>
      <c r="J34" s="20" t="s">
        <v>349</v>
      </c>
      <c r="K34" s="18" t="n">
        <v>0</v>
      </c>
      <c r="L34" s="20" t="n">
        <v>0</v>
      </c>
      <c r="M34" s="18" t="n">
        <v>0</v>
      </c>
      <c r="N34" s="20" t="n">
        <v>0</v>
      </c>
      <c r="O34" s="18" t="n">
        <v>0</v>
      </c>
      <c r="P34" s="20" t="n">
        <v>0</v>
      </c>
      <c r="Q34" s="18" t="n">
        <v>0.81895314</v>
      </c>
      <c r="R34" s="20" t="n">
        <v>0.45201825</v>
      </c>
    </row>
    <row r="35" spans="1:18">
      <c r="A35" s="15" t="s">
        <v>377</v>
      </c>
      <c r="B35" s="17" t="n">
        <v>2901</v>
      </c>
      <c r="C35" s="18">
        <f>(2520.0/B35*100)</f>
        <v/>
      </c>
      <c r="D35" s="19" t="n">
        <v>381</v>
      </c>
      <c r="E35" s="18" t="n">
        <v>26.2939974</v>
      </c>
      <c r="F35" s="20" t="n">
        <v>2.66444597</v>
      </c>
      <c r="G35" s="18" t="n">
        <v>72.70961796</v>
      </c>
      <c r="H35" s="20" t="n">
        <v>2.62237882</v>
      </c>
      <c r="I35" s="18" t="s">
        <v>349</v>
      </c>
      <c r="J35" s="20" t="s">
        <v>349</v>
      </c>
      <c r="K35" s="18" t="n">
        <v>0</v>
      </c>
      <c r="L35" s="20" t="n">
        <v>0</v>
      </c>
      <c r="M35" s="18" t="n">
        <v>0</v>
      </c>
      <c r="N35" s="20" t="n">
        <v>0</v>
      </c>
      <c r="O35" s="18" t="n">
        <v>0</v>
      </c>
      <c r="P35" s="20" t="n">
        <v>0</v>
      </c>
      <c r="Q35" s="18" t="n">
        <v>0.99638464</v>
      </c>
      <c r="R35" s="20" t="n">
        <v>0.64524293</v>
      </c>
    </row>
    <row r="36" spans="1:18">
      <c r="A36" s="15" t="s">
        <v>378</v>
      </c>
      <c r="B36" s="17" t="n">
        <v>3404</v>
      </c>
      <c r="C36" s="18">
        <f>(2976.0/B36*100)</f>
        <v/>
      </c>
      <c r="D36" s="19" t="n">
        <v>428</v>
      </c>
      <c r="E36" s="18" t="n">
        <v>38.81322969</v>
      </c>
      <c r="F36" s="20" t="n">
        <v>2.72698686</v>
      </c>
      <c r="G36" s="18" t="n">
        <v>60.16147269</v>
      </c>
      <c r="H36" s="20" t="n">
        <v>2.64180951</v>
      </c>
      <c r="I36" s="18" t="s">
        <v>349</v>
      </c>
      <c r="J36" s="20" t="s">
        <v>349</v>
      </c>
      <c r="K36" s="18" t="n">
        <v>0.38400781</v>
      </c>
      <c r="L36" s="20" t="n">
        <v>0.34272935</v>
      </c>
      <c r="M36" s="18" t="n">
        <v>0</v>
      </c>
      <c r="N36" s="20" t="n">
        <v>0</v>
      </c>
      <c r="O36" s="18" t="n">
        <v>0</v>
      </c>
      <c r="P36" s="20" t="n">
        <v>0</v>
      </c>
      <c r="Q36" s="18" t="n">
        <v>0.64128982</v>
      </c>
      <c r="R36" s="20" t="n">
        <v>0.35310479</v>
      </c>
    </row>
    <row r="37" spans="1:18">
      <c r="A37" s="15" t="s">
        <v>379</v>
      </c>
      <c r="B37" s="17" t="n">
        <v>2731</v>
      </c>
      <c r="C37" s="18">
        <f>(2383.0/B37*100)</f>
        <v/>
      </c>
      <c r="D37" s="19" t="n">
        <v>348</v>
      </c>
      <c r="E37" s="18" t="n">
        <v>38.72502194</v>
      </c>
      <c r="F37" s="20" t="n">
        <v>2.63102251</v>
      </c>
      <c r="G37" s="18" t="n">
        <v>59.90214637</v>
      </c>
      <c r="H37" s="20" t="n">
        <v>2.70285454</v>
      </c>
      <c r="I37" s="18" t="s">
        <v>349</v>
      </c>
      <c r="J37" s="20" t="s">
        <v>349</v>
      </c>
      <c r="K37" s="18" t="n">
        <v>0</v>
      </c>
      <c r="L37" s="20" t="n">
        <v>0</v>
      </c>
      <c r="M37" s="18" t="n">
        <v>0</v>
      </c>
      <c r="N37" s="20" t="n">
        <v>0</v>
      </c>
      <c r="O37" s="18" t="n">
        <v>0</v>
      </c>
      <c r="P37" s="20" t="n">
        <v>0</v>
      </c>
      <c r="Q37" s="18" t="n">
        <v>1.37283169</v>
      </c>
      <c r="R37" s="20" t="n">
        <v>0.61570789</v>
      </c>
    </row>
    <row r="38" spans="1:18">
      <c r="A38" s="15" t="s">
        <v>380</v>
      </c>
      <c r="B38" s="17" t="n">
        <v>2807</v>
      </c>
      <c r="C38" s="18">
        <f>(2325.0/B38*100)</f>
        <v/>
      </c>
      <c r="D38" s="19" t="n">
        <v>482</v>
      </c>
      <c r="E38" s="18" t="n">
        <v>25.26292117</v>
      </c>
      <c r="F38" s="20" t="n">
        <v>2.32997575</v>
      </c>
      <c r="G38" s="18" t="n">
        <v>73.52753995</v>
      </c>
      <c r="H38" s="20" t="n">
        <v>2.3324094</v>
      </c>
      <c r="I38" s="18" t="s">
        <v>349</v>
      </c>
      <c r="J38" s="20" t="s">
        <v>349</v>
      </c>
      <c r="K38" s="18" t="n">
        <v>0</v>
      </c>
      <c r="L38" s="20" t="n">
        <v>0</v>
      </c>
      <c r="M38" s="18" t="n">
        <v>0</v>
      </c>
      <c r="N38" s="20" t="n">
        <v>0</v>
      </c>
      <c r="O38" s="18" t="n">
        <v>0</v>
      </c>
      <c r="P38" s="20" t="n">
        <v>0</v>
      </c>
      <c r="Q38" s="18" t="n">
        <v>1.20953888</v>
      </c>
      <c r="R38" s="20" t="n">
        <v>0.47873447</v>
      </c>
    </row>
    <row r="39" spans="1:18">
      <c r="A39" s="15" t="s">
        <v>381</v>
      </c>
      <c r="B39" s="17" t="n">
        <v>2938</v>
      </c>
      <c r="C39" s="18">
        <f>(2601.0/B39*100)</f>
        <v/>
      </c>
      <c r="D39" s="19" t="n">
        <v>337</v>
      </c>
      <c r="E39" s="18" t="n">
        <v>46.16216783</v>
      </c>
      <c r="F39" s="20" t="n">
        <v>2.81862941</v>
      </c>
      <c r="G39" s="18" t="n">
        <v>50.96954973</v>
      </c>
      <c r="H39" s="20" t="n">
        <v>2.98025626</v>
      </c>
      <c r="I39" s="18" t="s">
        <v>349</v>
      </c>
      <c r="J39" s="20" t="s">
        <v>349</v>
      </c>
      <c r="K39" s="18" t="n">
        <v>0.60152478</v>
      </c>
      <c r="L39" s="20" t="n">
        <v>0.6046365299999999</v>
      </c>
      <c r="M39" s="18" t="n">
        <v>0</v>
      </c>
      <c r="N39" s="20" t="n">
        <v>0</v>
      </c>
      <c r="O39" s="18" t="n">
        <v>0</v>
      </c>
      <c r="P39" s="20" t="n">
        <v>0</v>
      </c>
      <c r="Q39" s="18" t="n">
        <v>2.26675767</v>
      </c>
      <c r="R39" s="20" t="n">
        <v>0.90023197</v>
      </c>
    </row>
    <row r="40" spans="1:18">
      <c r="A40" s="15" t="s">
        <v>382</v>
      </c>
      <c r="B40" s="17" t="n">
        <v>6922</v>
      </c>
      <c r="C40" s="18">
        <f>(6090.0/B40*100)</f>
        <v/>
      </c>
      <c r="D40" s="19" t="n">
        <v>832</v>
      </c>
      <c r="E40" s="18" t="n">
        <v>33.77063199</v>
      </c>
      <c r="F40" s="20" t="n">
        <v>2.51255791</v>
      </c>
      <c r="G40" s="18" t="n">
        <v>66.16077998999999</v>
      </c>
      <c r="H40" s="20" t="n">
        <v>2.51110981</v>
      </c>
      <c r="I40" s="18" t="s">
        <v>349</v>
      </c>
      <c r="J40" s="20" t="s">
        <v>349</v>
      </c>
      <c r="K40" s="18" t="n">
        <v>0</v>
      </c>
      <c r="L40" s="20" t="n">
        <v>0</v>
      </c>
      <c r="M40" s="18" t="n">
        <v>0</v>
      </c>
      <c r="N40" s="20" t="n">
        <v>0</v>
      </c>
      <c r="O40" s="18" t="n">
        <v>0</v>
      </c>
      <c r="P40" s="20" t="n">
        <v>0</v>
      </c>
      <c r="Q40" s="18" t="n">
        <v>0.06858802</v>
      </c>
      <c r="R40" s="20" t="n">
        <v>0.03654412</v>
      </c>
    </row>
    <row r="41" spans="1:18">
      <c r="A41" s="15" t="s">
        <v>383</v>
      </c>
      <c r="B41" s="17" t="n">
        <v>2854</v>
      </c>
      <c r="C41" s="18">
        <f>(2504.0/B41*100)</f>
        <v/>
      </c>
      <c r="D41" s="19" t="n">
        <v>350</v>
      </c>
      <c r="E41" s="18" t="n">
        <v>47.62977087</v>
      </c>
      <c r="F41" s="20" t="n">
        <v>2.75709359</v>
      </c>
      <c r="G41" s="18" t="n">
        <v>51.59715789</v>
      </c>
      <c r="H41" s="20" t="n">
        <v>2.69391464</v>
      </c>
      <c r="I41" s="18" t="s">
        <v>349</v>
      </c>
      <c r="J41" s="20" t="s">
        <v>349</v>
      </c>
      <c r="K41" s="18" t="n">
        <v>0</v>
      </c>
      <c r="L41" s="20" t="n">
        <v>0</v>
      </c>
      <c r="M41" s="18" t="n">
        <v>0</v>
      </c>
      <c r="N41" s="20" t="n">
        <v>0</v>
      </c>
      <c r="O41" s="18" t="n">
        <v>0</v>
      </c>
      <c r="P41" s="20" t="n">
        <v>0</v>
      </c>
      <c r="Q41" s="18" t="n">
        <v>0.77307124</v>
      </c>
      <c r="R41" s="20" t="n">
        <v>0.43160014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(10668.0/B46*100)</f>
        <v/>
      </c>
      <c r="D46" s="19" t="n">
        <v>1405</v>
      </c>
      <c r="E46" s="18" t="n">
        <v>63.8086154</v>
      </c>
      <c r="F46" s="20" t="n">
        <v>1.74386614</v>
      </c>
      <c r="G46" s="18" t="n">
        <v>32.36475147</v>
      </c>
      <c r="H46" s="20" t="n">
        <v>1.71746885</v>
      </c>
      <c r="I46" s="18" t="s">
        <v>349</v>
      </c>
      <c r="J46" s="20" t="s">
        <v>349</v>
      </c>
      <c r="K46" s="18" t="n">
        <v>0.1560905</v>
      </c>
      <c r="L46" s="20" t="n">
        <v>0.10921146</v>
      </c>
      <c r="M46" s="18" t="n">
        <v>0</v>
      </c>
      <c r="N46" s="20" t="n">
        <v>0</v>
      </c>
      <c r="O46" s="18" t="n">
        <v>0</v>
      </c>
      <c r="P46" s="20" t="n">
        <v>0</v>
      </c>
      <c r="Q46" s="18" t="n">
        <v>3.67054264</v>
      </c>
      <c r="R46" s="20" t="n">
        <v>0.5340018</v>
      </c>
    </row>
    <row r="47" spans="1:18">
      <c r="A47" s="15" t="s">
        <v>389</v>
      </c>
      <c r="B47" s="17" t="n">
        <v>2823</v>
      </c>
      <c r="C47" s="18">
        <f>(2470.0/B47*100)</f>
        <v/>
      </c>
      <c r="D47" s="19" t="n">
        <v>353</v>
      </c>
      <c r="E47" s="18" t="n">
        <v>46.40931672</v>
      </c>
      <c r="F47" s="20" t="n">
        <v>2.65061634</v>
      </c>
      <c r="G47" s="18" t="n">
        <v>51.04003589</v>
      </c>
      <c r="H47" s="20" t="n">
        <v>2.82832981</v>
      </c>
      <c r="I47" s="18" t="s">
        <v>349</v>
      </c>
      <c r="J47" s="20" t="s">
        <v>349</v>
      </c>
      <c r="K47" s="18" t="n">
        <v>0</v>
      </c>
      <c r="L47" s="20" t="n">
        <v>0</v>
      </c>
      <c r="M47" s="18" t="n">
        <v>0</v>
      </c>
      <c r="N47" s="20" t="n">
        <v>0</v>
      </c>
      <c r="O47" s="18" t="n">
        <v>0</v>
      </c>
      <c r="P47" s="20" t="n">
        <v>0</v>
      </c>
      <c r="Q47" s="18" t="n">
        <v>2.55064739</v>
      </c>
      <c r="R47" s="20" t="n">
        <v>1.02683791</v>
      </c>
    </row>
    <row r="48" spans="1:18">
      <c r="A48" s="15" t="s">
        <v>390</v>
      </c>
      <c r="B48" s="17" t="n">
        <v>4682</v>
      </c>
      <c r="C48" s="18">
        <f>(4108.0/B48*100)</f>
        <v/>
      </c>
      <c r="D48" s="19" t="n">
        <v>574</v>
      </c>
      <c r="E48" s="18" t="n">
        <v>24.81087777</v>
      </c>
      <c r="F48" s="20" t="n">
        <v>2.74207554</v>
      </c>
      <c r="G48" s="18" t="n">
        <v>73.46361061</v>
      </c>
      <c r="H48" s="20" t="n">
        <v>2.83964069</v>
      </c>
      <c r="I48" s="18" t="s">
        <v>349</v>
      </c>
      <c r="J48" s="20" t="s">
        <v>349</v>
      </c>
      <c r="K48" s="18" t="n">
        <v>0</v>
      </c>
      <c r="L48" s="20" t="n">
        <v>0</v>
      </c>
      <c r="M48" s="18" t="n">
        <v>0</v>
      </c>
      <c r="N48" s="20" t="n">
        <v>0</v>
      </c>
      <c r="O48" s="18" t="n">
        <v>0</v>
      </c>
      <c r="P48" s="20" t="n">
        <v>0</v>
      </c>
      <c r="Q48" s="18" t="n">
        <v>1.72551162</v>
      </c>
      <c r="R48" s="20" t="n">
        <v>0.68174134</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(5431.0/B50*100)</f>
        <v/>
      </c>
      <c r="D50" s="19" t="n">
        <v>727</v>
      </c>
      <c r="E50" s="18" t="n">
        <v>62.27071261</v>
      </c>
      <c r="F50" s="20" t="n">
        <v>2.46751219</v>
      </c>
      <c r="G50" s="18" t="n">
        <v>34.30226668</v>
      </c>
      <c r="H50" s="20" t="n">
        <v>2.55533208</v>
      </c>
      <c r="I50" s="18" t="s">
        <v>349</v>
      </c>
      <c r="J50" s="20" t="s">
        <v>349</v>
      </c>
      <c r="K50" s="18" t="n">
        <v>0.6216608</v>
      </c>
      <c r="L50" s="20" t="n">
        <v>0.33562618</v>
      </c>
      <c r="M50" s="18" t="n">
        <v>0</v>
      </c>
      <c r="N50" s="20" t="n">
        <v>0</v>
      </c>
      <c r="O50" s="18" t="n">
        <v>0</v>
      </c>
      <c r="P50" s="20" t="n">
        <v>0</v>
      </c>
      <c r="Q50" s="18" t="n">
        <v>2.80535991</v>
      </c>
      <c r="R50" s="20" t="n">
        <v>0.82854378</v>
      </c>
    </row>
    <row r="51" spans="1:18">
      <c r="A51" s="15" t="s">
        <v>393</v>
      </c>
      <c r="B51" s="17" t="n">
        <v>3494</v>
      </c>
      <c r="C51" s="18">
        <f>(3121.0/B51*100)</f>
        <v/>
      </c>
      <c r="D51" s="19" t="n">
        <v>373</v>
      </c>
      <c r="E51" s="18" t="n">
        <v>66.31716408</v>
      </c>
      <c r="F51" s="20" t="n">
        <v>2.55094142</v>
      </c>
      <c r="G51" s="18" t="n">
        <v>31.91044178</v>
      </c>
      <c r="H51" s="20" t="n">
        <v>2.53723637</v>
      </c>
      <c r="I51" s="18" t="s">
        <v>349</v>
      </c>
      <c r="J51" s="20" t="s">
        <v>349</v>
      </c>
      <c r="K51" s="18" t="n">
        <v>0</v>
      </c>
      <c r="L51" s="20" t="n">
        <v>0</v>
      </c>
      <c r="M51" s="18" t="n">
        <v>0</v>
      </c>
      <c r="N51" s="20" t="n">
        <v>0</v>
      </c>
      <c r="O51" s="18" t="n">
        <v>0</v>
      </c>
      <c r="P51" s="20" t="n">
        <v>0</v>
      </c>
      <c r="Q51" s="18" t="n">
        <v>1.77239414</v>
      </c>
      <c r="R51" s="20" t="n">
        <v>0.56783129</v>
      </c>
    </row>
    <row r="52" spans="1:18">
      <c r="A52" s="15" t="s">
        <v>394</v>
      </c>
      <c r="B52" s="17" t="n">
        <v>3013</v>
      </c>
      <c r="C52" s="18">
        <f>(2650.0/B52*100)</f>
        <v/>
      </c>
      <c r="D52" s="19" t="n">
        <v>363</v>
      </c>
      <c r="E52" s="18" t="n">
        <v>47.20947395</v>
      </c>
      <c r="F52" s="20" t="n">
        <v>2.45054068</v>
      </c>
      <c r="G52" s="18" t="n">
        <v>51.95491014</v>
      </c>
      <c r="H52" s="20" t="n">
        <v>2.48001559</v>
      </c>
      <c r="I52" s="18" t="s">
        <v>349</v>
      </c>
      <c r="J52" s="20" t="s">
        <v>349</v>
      </c>
      <c r="K52" s="18" t="n">
        <v>0</v>
      </c>
      <c r="L52" s="20" t="n">
        <v>0</v>
      </c>
      <c r="M52" s="18" t="n">
        <v>0</v>
      </c>
      <c r="N52" s="20" t="n">
        <v>0</v>
      </c>
      <c r="O52" s="18" t="n">
        <v>0</v>
      </c>
      <c r="P52" s="20" t="n">
        <v>0</v>
      </c>
      <c r="Q52" s="18" t="n">
        <v>0.83561591</v>
      </c>
      <c r="R52" s="20" t="n">
        <v>0.42680816</v>
      </c>
    </row>
    <row r="53" spans="1:18">
      <c r="A53" s="15" t="s">
        <v>395</v>
      </c>
      <c r="B53" s="17" t="n">
        <v>2760</v>
      </c>
      <c r="C53" s="18">
        <f>(2427.0/B53*100)</f>
        <v/>
      </c>
      <c r="D53" s="19" t="n">
        <v>333</v>
      </c>
      <c r="E53" s="18" t="n">
        <v>47.38226764</v>
      </c>
      <c r="F53" s="20" t="n">
        <v>2.74796092</v>
      </c>
      <c r="G53" s="18" t="n">
        <v>52.29412972</v>
      </c>
      <c r="H53" s="20" t="n">
        <v>2.74004627</v>
      </c>
      <c r="I53" s="18" t="s">
        <v>349</v>
      </c>
      <c r="J53" s="20" t="s">
        <v>349</v>
      </c>
      <c r="K53" s="18" t="n">
        <v>0</v>
      </c>
      <c r="L53" s="20" t="n">
        <v>0</v>
      </c>
      <c r="M53" s="18" t="n">
        <v>0</v>
      </c>
      <c r="N53" s="20" t="n">
        <v>0</v>
      </c>
      <c r="O53" s="18" t="n">
        <v>0</v>
      </c>
      <c r="P53" s="20" t="n">
        <v>0</v>
      </c>
      <c r="Q53" s="18" t="n">
        <v>0.32360263</v>
      </c>
      <c r="R53" s="20" t="n">
        <v>0.32313371</v>
      </c>
    </row>
    <row r="54" spans="1:18">
      <c r="A54" s="15" t="s">
        <v>396</v>
      </c>
      <c r="B54" s="17" t="n">
        <v>2474</v>
      </c>
      <c r="C54" s="18">
        <f>(2045.0/B54*100)</f>
        <v/>
      </c>
      <c r="D54" s="19" t="n">
        <v>429</v>
      </c>
      <c r="E54" s="18" t="n">
        <v>63.7015794</v>
      </c>
      <c r="F54" s="20" t="n">
        <v>2.98810523</v>
      </c>
      <c r="G54" s="18" t="n">
        <v>26.63286983</v>
      </c>
      <c r="H54" s="20" t="n">
        <v>2.22275212</v>
      </c>
      <c r="I54" s="18" t="s">
        <v>349</v>
      </c>
      <c r="J54" s="20" t="s">
        <v>349</v>
      </c>
      <c r="K54" s="18" t="n">
        <v>4.14078629</v>
      </c>
      <c r="L54" s="20" t="n">
        <v>1.19148195</v>
      </c>
      <c r="M54" s="18" t="n">
        <v>0</v>
      </c>
      <c r="N54" s="20" t="n">
        <v>0</v>
      </c>
      <c r="O54" s="18" t="n">
        <v>0</v>
      </c>
      <c r="P54" s="20" t="n">
        <v>0</v>
      </c>
      <c r="Q54" s="18" t="n">
        <v>5.52476448</v>
      </c>
      <c r="R54" s="20" t="n">
        <v>1.32776051</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(2349.0/B56*100)</f>
        <v/>
      </c>
      <c r="D56" s="19" t="n">
        <v>326</v>
      </c>
      <c r="E56" s="18" t="n">
        <v>18.80036021</v>
      </c>
      <c r="F56" s="20" t="n">
        <v>1.97261416</v>
      </c>
      <c r="G56" s="18" t="n">
        <v>80.84724896</v>
      </c>
      <c r="H56" s="20" t="n">
        <v>2.09062575</v>
      </c>
      <c r="I56" s="18" t="s">
        <v>349</v>
      </c>
      <c r="J56" s="20" t="s">
        <v>349</v>
      </c>
      <c r="K56" s="18" t="n">
        <v>0</v>
      </c>
      <c r="L56" s="20" t="n">
        <v>0</v>
      </c>
      <c r="M56" s="18" t="n">
        <v>0</v>
      </c>
      <c r="N56" s="20" t="n">
        <v>0</v>
      </c>
      <c r="O56" s="18" t="n">
        <v>0</v>
      </c>
      <c r="P56" s="20" t="n">
        <v>0</v>
      </c>
      <c r="Q56" s="18" t="n">
        <v>0.35239083</v>
      </c>
      <c r="R56" s="20" t="n">
        <v>0.35202887</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(2788.0/B61*100)</f>
        <v/>
      </c>
      <c r="D61" s="19" t="n">
        <v>413</v>
      </c>
      <c r="E61" s="18" t="n">
        <v>34.31047496</v>
      </c>
      <c r="F61" s="20" t="n">
        <v>2.17973641</v>
      </c>
      <c r="G61" s="18" t="n">
        <v>64.06179652</v>
      </c>
      <c r="H61" s="20" t="n">
        <v>2.34476128</v>
      </c>
      <c r="I61" s="18" t="s">
        <v>349</v>
      </c>
      <c r="J61" s="20" t="s">
        <v>349</v>
      </c>
      <c r="K61" s="18" t="n">
        <v>0.71159034</v>
      </c>
      <c r="L61" s="20" t="n">
        <v>0.69355941</v>
      </c>
      <c r="M61" s="18" t="n">
        <v>0</v>
      </c>
      <c r="N61" s="20" t="n">
        <v>0</v>
      </c>
      <c r="O61" s="18" t="n">
        <v>0</v>
      </c>
      <c r="P61" s="20" t="n">
        <v>0</v>
      </c>
      <c r="Q61" s="18" t="n">
        <v>0.91613818</v>
      </c>
      <c r="R61" s="20" t="n">
        <v>0.45182396</v>
      </c>
    </row>
    <row r="62" spans="1:18">
      <c r="A62" s="15" t="s">
        <v>404</v>
      </c>
      <c r="B62" s="17" t="n">
        <v>2230</v>
      </c>
      <c r="C62" s="18">
        <f>(1959.0/B62*100)</f>
        <v/>
      </c>
      <c r="D62" s="19" t="n">
        <v>271</v>
      </c>
      <c r="E62" s="18" t="n">
        <v>19.88741437</v>
      </c>
      <c r="F62" s="20" t="n">
        <v>2.03289658</v>
      </c>
      <c r="G62" s="18" t="n">
        <v>79.73707403</v>
      </c>
      <c r="H62" s="20" t="n">
        <v>2.14257135</v>
      </c>
      <c r="I62" s="18" t="s">
        <v>349</v>
      </c>
      <c r="J62" s="20" t="s">
        <v>349</v>
      </c>
      <c r="K62" s="18" t="n">
        <v>0</v>
      </c>
      <c r="L62" s="20" t="n">
        <v>0</v>
      </c>
      <c r="M62" s="18" t="n">
        <v>0</v>
      </c>
      <c r="N62" s="20" t="n">
        <v>0</v>
      </c>
      <c r="O62" s="18" t="n">
        <v>0</v>
      </c>
      <c r="P62" s="20" t="n">
        <v>0</v>
      </c>
      <c r="Q62" s="18" t="n">
        <v>0.3755116</v>
      </c>
      <c r="R62" s="20" t="n">
        <v>0.37066249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(2436.0/B66*100)</f>
        <v/>
      </c>
      <c r="D66" s="19" t="n">
        <v>335</v>
      </c>
      <c r="E66" s="18" t="n">
        <v>59.34007779</v>
      </c>
      <c r="F66" s="20" t="n">
        <v>2.93385323</v>
      </c>
      <c r="G66" s="18" t="n">
        <v>37.9668037</v>
      </c>
      <c r="H66" s="20" t="n">
        <v>2.82146389</v>
      </c>
      <c r="I66" s="18" t="s">
        <v>349</v>
      </c>
      <c r="J66" s="20" t="s">
        <v>349</v>
      </c>
      <c r="K66" s="18" t="n">
        <v>0.26106646</v>
      </c>
      <c r="L66" s="20" t="n">
        <v>0.26084755</v>
      </c>
      <c r="M66" s="18" t="n">
        <v>0</v>
      </c>
      <c r="N66" s="20" t="n">
        <v>0</v>
      </c>
      <c r="O66" s="18" t="n">
        <v>0</v>
      </c>
      <c r="P66" s="20" t="n">
        <v>0</v>
      </c>
      <c r="Q66" s="18" t="n">
        <v>2.43205205</v>
      </c>
      <c r="R66" s="20" t="n">
        <v>0.84343668</v>
      </c>
    </row>
    <row r="67" spans="1:18">
      <c r="A67" s="15" t="s">
        <v>409</v>
      </c>
      <c r="B67" s="17" t="n">
        <v>3460</v>
      </c>
      <c r="C67" s="18">
        <f>(3047.0/B67*100)</f>
        <v/>
      </c>
      <c r="D67" s="19" t="n">
        <v>413</v>
      </c>
      <c r="E67" s="18" t="n">
        <v>58.79677681</v>
      </c>
      <c r="F67" s="20" t="n">
        <v>2.66660072</v>
      </c>
      <c r="G67" s="18" t="n">
        <v>32.6558405</v>
      </c>
      <c r="H67" s="20" t="n">
        <v>2.49835253</v>
      </c>
      <c r="I67" s="18" t="s">
        <v>349</v>
      </c>
      <c r="J67" s="20" t="s">
        <v>349</v>
      </c>
      <c r="K67" s="18" t="n">
        <v>0.31373302</v>
      </c>
      <c r="L67" s="20" t="n">
        <v>0.31477924</v>
      </c>
      <c r="M67" s="18" t="n">
        <v>0</v>
      </c>
      <c r="N67" s="20" t="n">
        <v>0</v>
      </c>
      <c r="O67" s="18" t="n">
        <v>0</v>
      </c>
      <c r="P67" s="20" t="n">
        <v>0</v>
      </c>
      <c r="Q67" s="18" t="n">
        <v>8.23364967</v>
      </c>
      <c r="R67" s="20" t="n">
        <v>1.51307524</v>
      </c>
    </row>
    <row r="68" spans="1:18">
      <c r="A68" s="15" t="s">
        <v>410</v>
      </c>
      <c r="B68" s="17" t="n">
        <v>6034</v>
      </c>
      <c r="C68" s="18">
        <f>(5040.0/B68*100)</f>
        <v/>
      </c>
      <c r="D68" s="19" t="n">
        <v>994</v>
      </c>
      <c r="E68" s="18" t="n">
        <v>60.51048973</v>
      </c>
      <c r="F68" s="20" t="n">
        <v>1.4078951</v>
      </c>
      <c r="G68" s="18" t="n">
        <v>36.65020223</v>
      </c>
      <c r="H68" s="20" t="n">
        <v>1.36396975</v>
      </c>
      <c r="I68" s="18" t="s">
        <v>349</v>
      </c>
      <c r="J68" s="20" t="s">
        <v>349</v>
      </c>
      <c r="K68" s="18" t="n">
        <v>0.48696587</v>
      </c>
      <c r="L68" s="20" t="n">
        <v>0.21738237</v>
      </c>
      <c r="M68" s="18" t="n">
        <v>0</v>
      </c>
      <c r="N68" s="20" t="n">
        <v>0</v>
      </c>
      <c r="O68" s="18" t="n">
        <v>0</v>
      </c>
      <c r="P68" s="20" t="n">
        <v>0</v>
      </c>
      <c r="Q68" s="18" t="n">
        <v>2.35234217</v>
      </c>
      <c r="R68" s="20" t="n">
        <v>0.41074289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(2767.0/B70*100)</f>
        <v/>
      </c>
      <c r="D70" s="19" t="n">
        <v>340</v>
      </c>
      <c r="E70" s="18" t="n">
        <v>34.70182324</v>
      </c>
      <c r="F70" s="20" t="n">
        <v>3.20692391</v>
      </c>
      <c r="G70" s="18" t="n">
        <v>63.32625645</v>
      </c>
      <c r="H70" s="20" t="n">
        <v>3.25186203</v>
      </c>
      <c r="I70" s="18" t="s">
        <v>349</v>
      </c>
      <c r="J70" s="20" t="s">
        <v>349</v>
      </c>
      <c r="K70" s="18" t="n">
        <v>0.35261372</v>
      </c>
      <c r="L70" s="20" t="n">
        <v>0.25107652</v>
      </c>
      <c r="M70" s="18" t="n">
        <v>0</v>
      </c>
      <c r="N70" s="20" t="n">
        <v>0</v>
      </c>
      <c r="O70" s="18" t="n">
        <v>0</v>
      </c>
      <c r="P70" s="20" t="n">
        <v>0</v>
      </c>
      <c r="Q70" s="18" t="n">
        <v>1.61930659</v>
      </c>
      <c r="R70" s="20" t="n">
        <v>0.84364563</v>
      </c>
    </row>
    <row r="71" spans="1:18">
      <c r="A71" s="15" t="s">
        <v>413</v>
      </c>
      <c r="B71" s="17" t="n">
        <v>2973</v>
      </c>
      <c r="C71" s="18">
        <f>(2634.0/B71*100)</f>
        <v/>
      </c>
      <c r="D71" s="19" t="n">
        <v>339</v>
      </c>
      <c r="E71" s="18" t="n">
        <v>23.83402314</v>
      </c>
      <c r="F71" s="20" t="n">
        <v>2.38977111</v>
      </c>
      <c r="G71" s="18" t="n">
        <v>75.65393933</v>
      </c>
      <c r="H71" s="20" t="n">
        <v>2.41531595</v>
      </c>
      <c r="I71" s="18" t="s">
        <v>349</v>
      </c>
      <c r="J71" s="20" t="s">
        <v>349</v>
      </c>
      <c r="K71" s="18" t="n">
        <v>0</v>
      </c>
      <c r="L71" s="20" t="n">
        <v>0</v>
      </c>
      <c r="M71" s="18" t="n">
        <v>0</v>
      </c>
      <c r="N71" s="20" t="n">
        <v>0</v>
      </c>
      <c r="O71" s="18" t="n">
        <v>0</v>
      </c>
      <c r="P71" s="20" t="n">
        <v>0</v>
      </c>
      <c r="Q71" s="18" t="n">
        <v>0.51203752</v>
      </c>
      <c r="R71" s="20" t="n">
        <v>0.36718908</v>
      </c>
    </row>
    <row r="72" spans="1:18">
      <c r="A72" s="15" t="s">
        <v>414</v>
      </c>
      <c r="B72" s="17" t="n">
        <v>3819</v>
      </c>
      <c r="C72" s="18">
        <f>(3352.0/B72*100)</f>
        <v/>
      </c>
      <c r="D72" s="19" t="n">
        <v>467</v>
      </c>
      <c r="E72" s="18" t="n">
        <v>23.312377</v>
      </c>
      <c r="F72" s="20" t="n">
        <v>2.04819704</v>
      </c>
      <c r="G72" s="18" t="n">
        <v>76.00687359</v>
      </c>
      <c r="H72" s="20" t="n">
        <v>2.0714992</v>
      </c>
      <c r="I72" s="18" t="s">
        <v>349</v>
      </c>
      <c r="J72" s="20" t="s">
        <v>349</v>
      </c>
      <c r="K72" s="18" t="n">
        <v>0</v>
      </c>
      <c r="L72" s="20" t="n">
        <v>0</v>
      </c>
      <c r="M72" s="18" t="n">
        <v>0</v>
      </c>
      <c r="N72" s="20" t="n">
        <v>0</v>
      </c>
      <c r="O72" s="18" t="n">
        <v>0</v>
      </c>
      <c r="P72" s="20" t="n">
        <v>0</v>
      </c>
      <c r="Q72" s="18" t="n">
        <v>0.68074941</v>
      </c>
      <c r="R72" s="20" t="n">
        <v>0.3496642</v>
      </c>
    </row>
    <row r="73" spans="1:18">
      <c r="A73" s="15" t="s">
        <v>415</v>
      </c>
      <c r="B73" s="17" t="n">
        <v>4652</v>
      </c>
      <c r="C73" s="18">
        <f>(4066.0/B73*100)</f>
        <v/>
      </c>
      <c r="D73" s="19" t="n">
        <v>586</v>
      </c>
      <c r="E73" s="18" t="n">
        <v>46.81104817</v>
      </c>
      <c r="F73" s="20" t="n">
        <v>2.39670153</v>
      </c>
      <c r="G73" s="18" t="n">
        <v>41.81261767</v>
      </c>
      <c r="H73" s="20" t="n">
        <v>2.48485635</v>
      </c>
      <c r="I73" s="18" t="s">
        <v>349</v>
      </c>
      <c r="J73" s="20" t="s">
        <v>349</v>
      </c>
      <c r="K73" s="18" t="n">
        <v>0</v>
      </c>
      <c r="L73" s="20" t="n">
        <v>0</v>
      </c>
      <c r="M73" s="18" t="n">
        <v>0</v>
      </c>
      <c r="N73" s="20" t="n">
        <v>0</v>
      </c>
      <c r="O73" s="18" t="n">
        <v>0</v>
      </c>
      <c r="P73" s="20" t="n">
        <v>0</v>
      </c>
      <c r="Q73" s="18" t="n">
        <v>11.37633416</v>
      </c>
      <c r="R73" s="20" t="n">
        <v>1.74144101</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(2608.0/B75*100)</f>
        <v/>
      </c>
      <c r="D75" s="19" t="n">
        <v>361</v>
      </c>
      <c r="E75" s="18" t="n">
        <v>67.20279667</v>
      </c>
      <c r="F75" s="20" t="n">
        <v>2.8333853</v>
      </c>
      <c r="G75" s="18" t="n">
        <v>25.52689154</v>
      </c>
      <c r="H75" s="20" t="n">
        <v>2.69336283</v>
      </c>
      <c r="I75" s="18" t="s">
        <v>349</v>
      </c>
      <c r="J75" s="20" t="s">
        <v>349</v>
      </c>
      <c r="K75" s="18" t="n">
        <v>0.81132731</v>
      </c>
      <c r="L75" s="20" t="n">
        <v>0.47181508</v>
      </c>
      <c r="M75" s="18" t="n">
        <v>0</v>
      </c>
      <c r="N75" s="20" t="n">
        <v>0</v>
      </c>
      <c r="O75" s="18" t="n">
        <v>0</v>
      </c>
      <c r="P75" s="20" t="n">
        <v>0</v>
      </c>
      <c r="Q75" s="18" t="n">
        <v>6.45898447</v>
      </c>
      <c r="R75" s="20" t="n">
        <v>1.29439225</v>
      </c>
    </row>
    <row r="76" spans="1:18">
      <c r="A76" s="15" t="s">
        <v>418</v>
      </c>
      <c r="B76" s="17" t="n">
        <v>7115</v>
      </c>
      <c r="C76" s="18">
        <f>(6279.0/B76*100)</f>
        <v/>
      </c>
      <c r="D76" s="19" t="n">
        <v>836</v>
      </c>
      <c r="E76" s="18" t="n">
        <v>60.28067534</v>
      </c>
      <c r="F76" s="20" t="n">
        <v>1.742845</v>
      </c>
      <c r="G76" s="18" t="n">
        <v>37.82127811</v>
      </c>
      <c r="H76" s="20" t="n">
        <v>1.60882249</v>
      </c>
      <c r="I76" s="18" t="s">
        <v>349</v>
      </c>
      <c r="J76" s="20" t="s">
        <v>349</v>
      </c>
      <c r="K76" s="18" t="n">
        <v>0.18030863</v>
      </c>
      <c r="L76" s="20" t="n">
        <v>0.17885346</v>
      </c>
      <c r="M76" s="18" t="n">
        <v>0</v>
      </c>
      <c r="N76" s="20" t="n">
        <v>0</v>
      </c>
      <c r="O76" s="18" t="n">
        <v>0</v>
      </c>
      <c r="P76" s="20" t="n">
        <v>0</v>
      </c>
      <c r="Q76" s="18" t="n">
        <v>1.71773791</v>
      </c>
      <c r="R76" s="20" t="n">
        <v>0.59117769</v>
      </c>
    </row>
    <row r="77" spans="1:18">
      <c r="A77" s="15" t="s">
        <v>419</v>
      </c>
      <c r="B77" s="17" t="n">
        <v>3154</v>
      </c>
      <c r="C77" s="18">
        <f>(2770.0/B77*100)</f>
        <v/>
      </c>
      <c r="D77" s="19" t="n">
        <v>384</v>
      </c>
      <c r="E77" s="18" t="n">
        <v>54.54617147</v>
      </c>
      <c r="F77" s="20" t="n">
        <v>2.38187683</v>
      </c>
      <c r="G77" s="18" t="n">
        <v>42.40459627</v>
      </c>
      <c r="H77" s="20" t="n">
        <v>2.37159441</v>
      </c>
      <c r="I77" s="18" t="s">
        <v>349</v>
      </c>
      <c r="J77" s="20" t="s">
        <v>349</v>
      </c>
      <c r="K77" s="18" t="n">
        <v>0.38747677</v>
      </c>
      <c r="L77" s="20" t="n">
        <v>0.41989508</v>
      </c>
      <c r="M77" s="18" t="n">
        <v>0</v>
      </c>
      <c r="N77" s="20" t="n">
        <v>0</v>
      </c>
      <c r="O77" s="18" t="n">
        <v>0</v>
      </c>
      <c r="P77" s="20" t="n">
        <v>0</v>
      </c>
      <c r="Q77" s="18" t="n">
        <v>2.66175548</v>
      </c>
      <c r="R77" s="20" t="n">
        <v>0.86834076</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(4125.0/B81*100)</f>
        <v/>
      </c>
      <c r="D81" s="19" t="n">
        <v>573</v>
      </c>
      <c r="E81" s="18" t="n">
        <v>55.18981941</v>
      </c>
      <c r="F81" s="20" t="n">
        <v>2.64497455</v>
      </c>
      <c r="G81" s="18" t="n">
        <v>42.67396003</v>
      </c>
      <c r="H81" s="20" t="n">
        <v>2.61153782</v>
      </c>
      <c r="I81" s="18" t="s">
        <v>349</v>
      </c>
      <c r="J81" s="20" t="s">
        <v>349</v>
      </c>
      <c r="K81" s="18" t="n">
        <v>0</v>
      </c>
      <c r="L81" s="20" t="n">
        <v>0</v>
      </c>
      <c r="M81" s="18" t="n">
        <v>0</v>
      </c>
      <c r="N81" s="20" t="n">
        <v>0</v>
      </c>
      <c r="O81" s="18" t="n">
        <v>0</v>
      </c>
      <c r="P81" s="20" t="n">
        <v>0</v>
      </c>
      <c r="Q81" s="18" t="n">
        <v>2.13622057</v>
      </c>
      <c r="R81" s="20" t="n">
        <v>0.74007965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(6302.0/B7*100)</f>
        <v/>
      </c>
      <c r="D7" s="19" t="n">
        <v>861</v>
      </c>
      <c r="E7" s="18" t="n">
        <v>57.63793978</v>
      </c>
      <c r="F7" s="20" t="n">
        <v>1.84893784</v>
      </c>
      <c r="G7" s="18" t="n">
        <v>40.93371759</v>
      </c>
      <c r="H7" s="20" t="n">
        <v>1.92904319</v>
      </c>
      <c r="I7" s="18" t="s">
        <v>349</v>
      </c>
      <c r="J7" s="20" t="s">
        <v>349</v>
      </c>
      <c r="K7" s="18" t="n">
        <v>0.52529771</v>
      </c>
      <c r="L7" s="20" t="n">
        <v>0.28675944</v>
      </c>
      <c r="M7" s="18" t="n">
        <v>0</v>
      </c>
      <c r="N7" s="20" t="n">
        <v>0</v>
      </c>
      <c r="O7" s="18" t="n">
        <v>0</v>
      </c>
      <c r="P7" s="20" t="n">
        <v>0</v>
      </c>
      <c r="Q7" s="18" t="n">
        <v>0.90304493</v>
      </c>
      <c r="R7" s="20" t="n">
        <v>0.37050168</v>
      </c>
    </row>
    <row r="8" spans="1:18">
      <c r="A8" s="15" t="s">
        <v>350</v>
      </c>
      <c r="B8" s="17" t="n">
        <v>3443</v>
      </c>
      <c r="C8" s="18">
        <f>(3031.0/B8*100)</f>
        <v/>
      </c>
      <c r="D8" s="19" t="n">
        <v>412</v>
      </c>
      <c r="E8" s="18" t="n">
        <v>56.41390287</v>
      </c>
      <c r="F8" s="20" t="n">
        <v>2.65794976</v>
      </c>
      <c r="G8" s="18" t="n">
        <v>41.75429144</v>
      </c>
      <c r="H8" s="20" t="n">
        <v>2.68822718</v>
      </c>
      <c r="I8" s="18" t="s">
        <v>349</v>
      </c>
      <c r="J8" s="20" t="s">
        <v>349</v>
      </c>
      <c r="K8" s="18" t="n">
        <v>0</v>
      </c>
      <c r="L8" s="20" t="n">
        <v>0</v>
      </c>
      <c r="M8" s="18" t="n">
        <v>0</v>
      </c>
      <c r="N8" s="20" t="n">
        <v>0</v>
      </c>
      <c r="O8" s="18" t="n">
        <v>0</v>
      </c>
      <c r="P8" s="20" t="n">
        <v>0</v>
      </c>
      <c r="Q8" s="18" t="n">
        <v>1.83180569</v>
      </c>
      <c r="R8" s="20" t="n">
        <v>0.61665648</v>
      </c>
    </row>
    <row r="9" spans="1:18">
      <c r="A9" s="15" t="s">
        <v>351</v>
      </c>
      <c r="B9" s="17" t="n">
        <v>4752</v>
      </c>
      <c r="C9" s="18">
        <f>(4174.0/B9*100)</f>
        <v/>
      </c>
      <c r="D9" s="19" t="n">
        <v>578</v>
      </c>
      <c r="E9" s="18" t="n">
        <v>56.50639238</v>
      </c>
      <c r="F9" s="20" t="n">
        <v>1.98482656</v>
      </c>
      <c r="G9" s="18" t="n">
        <v>42.19595734</v>
      </c>
      <c r="H9" s="20" t="n">
        <v>1.97605643</v>
      </c>
      <c r="I9" s="18" t="s">
        <v>349</v>
      </c>
      <c r="J9" s="20" t="s">
        <v>349</v>
      </c>
      <c r="K9" s="18" t="n">
        <v>0</v>
      </c>
      <c r="L9" s="20" t="n">
        <v>0</v>
      </c>
      <c r="M9" s="18" t="n">
        <v>0</v>
      </c>
      <c r="N9" s="20" t="n">
        <v>0</v>
      </c>
      <c r="O9" s="18" t="n">
        <v>0</v>
      </c>
      <c r="P9" s="20" t="n">
        <v>0</v>
      </c>
      <c r="Q9" s="18" t="n">
        <v>1.29765028</v>
      </c>
      <c r="R9" s="20" t="n">
        <v>0.48485759</v>
      </c>
    </row>
    <row r="10" spans="1:18">
      <c r="A10" s="15" t="s">
        <v>352</v>
      </c>
      <c r="B10" s="17" t="n">
        <v>10022</v>
      </c>
      <c r="C10" s="18">
        <f>(8777.0/B10*100)</f>
        <v/>
      </c>
      <c r="D10" s="19" t="n">
        <v>1245</v>
      </c>
      <c r="E10" s="18" t="n">
        <v>52.71773225</v>
      </c>
      <c r="F10" s="20" t="n">
        <v>1.76900986</v>
      </c>
      <c r="G10" s="18" t="n">
        <v>47.130034</v>
      </c>
      <c r="H10" s="20" t="n">
        <v>1.77774116</v>
      </c>
      <c r="I10" s="18" t="s">
        <v>349</v>
      </c>
      <c r="J10" s="20" t="s">
        <v>349</v>
      </c>
      <c r="K10" s="18" t="n">
        <v>0.08492075</v>
      </c>
      <c r="L10" s="20" t="n">
        <v>0.05263182</v>
      </c>
      <c r="M10" s="18" t="n">
        <v>0</v>
      </c>
      <c r="N10" s="20" t="n">
        <v>0</v>
      </c>
      <c r="O10" s="18" t="n">
        <v>0</v>
      </c>
      <c r="P10" s="20" t="n">
        <v>0</v>
      </c>
      <c r="Q10" s="18" t="n">
        <v>0.067313</v>
      </c>
      <c r="R10" s="20" t="n">
        <v>0.03932034</v>
      </c>
    </row>
    <row r="11" spans="1:18">
      <c r="A11" s="15" t="s">
        <v>353</v>
      </c>
      <c r="B11" s="17" t="n">
        <v>3500</v>
      </c>
      <c r="C11" s="18">
        <f>(3077.0/B11*100)</f>
        <v/>
      </c>
      <c r="D11" s="19" t="n">
        <v>423</v>
      </c>
      <c r="E11" s="18" t="n">
        <v>72.53491</v>
      </c>
      <c r="F11" s="20" t="n">
        <v>2.64254642</v>
      </c>
      <c r="G11" s="18" t="n">
        <v>25.68923931</v>
      </c>
      <c r="H11" s="20" t="n">
        <v>2.68699523</v>
      </c>
      <c r="I11" s="18" t="s">
        <v>349</v>
      </c>
      <c r="J11" s="20" t="s">
        <v>349</v>
      </c>
      <c r="K11" s="18" t="n">
        <v>0.30457078</v>
      </c>
      <c r="L11" s="20" t="n">
        <v>0.30003505</v>
      </c>
      <c r="M11" s="18" t="n">
        <v>0</v>
      </c>
      <c r="N11" s="20" t="n">
        <v>0</v>
      </c>
      <c r="O11" s="18" t="n">
        <v>0</v>
      </c>
      <c r="P11" s="20" t="n">
        <v>0</v>
      </c>
      <c r="Q11" s="18" t="n">
        <v>1.47127992</v>
      </c>
      <c r="R11" s="20" t="n">
        <v>0.6904467</v>
      </c>
    </row>
    <row r="12" spans="1:18">
      <c r="A12" s="15" t="s">
        <v>354</v>
      </c>
      <c r="B12" s="17" t="n">
        <v>3422</v>
      </c>
      <c r="C12" s="18">
        <f>(2981.0/B12*100)</f>
        <v/>
      </c>
      <c r="D12" s="19" t="n">
        <v>441</v>
      </c>
      <c r="E12" s="18" t="n">
        <v>53.09876361</v>
      </c>
      <c r="F12" s="20" t="n">
        <v>2.56692529</v>
      </c>
      <c r="G12" s="18" t="n">
        <v>45.6949085</v>
      </c>
      <c r="H12" s="20" t="n">
        <v>2.72794061</v>
      </c>
      <c r="I12" s="18" t="s">
        <v>349</v>
      </c>
      <c r="J12" s="20" t="s">
        <v>349</v>
      </c>
      <c r="K12" s="18" t="n">
        <v>0</v>
      </c>
      <c r="L12" s="20" t="n">
        <v>0</v>
      </c>
      <c r="M12" s="18" t="n">
        <v>0</v>
      </c>
      <c r="N12" s="20" t="n">
        <v>0</v>
      </c>
      <c r="O12" s="18" t="n">
        <v>0</v>
      </c>
      <c r="P12" s="20" t="n">
        <v>0</v>
      </c>
      <c r="Q12" s="18" t="n">
        <v>1.20632788</v>
      </c>
      <c r="R12" s="20" t="n">
        <v>0.6484147</v>
      </c>
    </row>
    <row r="13" spans="1:18">
      <c r="A13" s="15" t="s">
        <v>355</v>
      </c>
      <c r="B13" s="17" t="n">
        <v>3602</v>
      </c>
      <c r="C13" s="18">
        <f>(3155.0/B13*100)</f>
        <v/>
      </c>
      <c r="D13" s="19" t="n">
        <v>447</v>
      </c>
      <c r="E13" s="18" t="n">
        <v>46.9829575</v>
      </c>
      <c r="F13" s="20" t="n">
        <v>2.97727933</v>
      </c>
      <c r="G13" s="18" t="n">
        <v>51.34908138</v>
      </c>
      <c r="H13" s="20" t="n">
        <v>2.92297239</v>
      </c>
      <c r="I13" s="18" t="s">
        <v>349</v>
      </c>
      <c r="J13" s="20" t="s">
        <v>349</v>
      </c>
      <c r="K13" s="18" t="n">
        <v>0.87341594</v>
      </c>
      <c r="L13" s="20" t="n">
        <v>0.56117192</v>
      </c>
      <c r="M13" s="18" t="n">
        <v>0</v>
      </c>
      <c r="N13" s="20" t="n">
        <v>0</v>
      </c>
      <c r="O13" s="18" t="n">
        <v>0</v>
      </c>
      <c r="P13" s="20" t="n">
        <v>0</v>
      </c>
      <c r="Q13" s="18" t="n">
        <v>0.79454518</v>
      </c>
      <c r="R13" s="20" t="n">
        <v>0.49242463</v>
      </c>
    </row>
    <row r="14" spans="1:18">
      <c r="A14" s="15" t="s">
        <v>356</v>
      </c>
      <c r="B14" s="17" t="n">
        <v>2788</v>
      </c>
      <c r="C14" s="18">
        <f>(2425.0/B14*100)</f>
        <v/>
      </c>
      <c r="D14" s="19" t="n">
        <v>363</v>
      </c>
      <c r="E14" s="18" t="n">
        <v>52.55224553</v>
      </c>
      <c r="F14" s="20" t="n">
        <v>3.23185487</v>
      </c>
      <c r="G14" s="18" t="n">
        <v>47.2175222</v>
      </c>
      <c r="H14" s="20" t="n">
        <v>3.24931049</v>
      </c>
      <c r="I14" s="18" t="s">
        <v>349</v>
      </c>
      <c r="J14" s="20" t="s">
        <v>349</v>
      </c>
      <c r="K14" s="18" t="n">
        <v>0</v>
      </c>
      <c r="L14" s="20" t="n">
        <v>0</v>
      </c>
      <c r="M14" s="18" t="n">
        <v>0</v>
      </c>
      <c r="N14" s="20" t="n">
        <v>0</v>
      </c>
      <c r="O14" s="18" t="n">
        <v>0</v>
      </c>
      <c r="P14" s="20" t="n">
        <v>0</v>
      </c>
      <c r="Q14" s="18" t="n">
        <v>0.23023227</v>
      </c>
      <c r="R14" s="20" t="n">
        <v>0.21343259</v>
      </c>
    </row>
    <row r="15" spans="1:18">
      <c r="A15" s="15" t="s">
        <v>357</v>
      </c>
      <c r="B15" s="17" t="n">
        <v>2863</v>
      </c>
      <c r="C15" s="18">
        <f>(2512.0/B15*100)</f>
        <v/>
      </c>
      <c r="D15" s="19" t="n">
        <v>351</v>
      </c>
      <c r="E15" s="18" t="n">
        <v>44.69118732</v>
      </c>
      <c r="F15" s="20" t="n">
        <v>2.53760289</v>
      </c>
      <c r="G15" s="18" t="n">
        <v>54.01564044</v>
      </c>
      <c r="H15" s="20" t="n">
        <v>2.44212902</v>
      </c>
      <c r="I15" s="18" t="s">
        <v>349</v>
      </c>
      <c r="J15" s="20" t="s">
        <v>349</v>
      </c>
      <c r="K15" s="18" t="n">
        <v>0</v>
      </c>
      <c r="L15" s="20" t="n">
        <v>0</v>
      </c>
      <c r="M15" s="18" t="n">
        <v>0</v>
      </c>
      <c r="N15" s="20" t="n">
        <v>0</v>
      </c>
      <c r="O15" s="18" t="n">
        <v>0</v>
      </c>
      <c r="P15" s="20" t="n">
        <v>0</v>
      </c>
      <c r="Q15" s="18" t="n">
        <v>1.29317224</v>
      </c>
      <c r="R15" s="20" t="n">
        <v>0.58296082</v>
      </c>
    </row>
    <row r="16" spans="1:18">
      <c r="A16" s="15" t="s">
        <v>358</v>
      </c>
      <c r="B16" s="17" t="n">
        <v>3111</v>
      </c>
      <c r="C16" s="18">
        <f>(2741.0/B16*100)</f>
        <v/>
      </c>
      <c r="D16" s="19" t="n">
        <v>370</v>
      </c>
      <c r="E16" s="18" t="n">
        <v>58.94968736</v>
      </c>
      <c r="F16" s="20" t="n">
        <v>2.49499848</v>
      </c>
      <c r="G16" s="18" t="n">
        <v>38.58066312</v>
      </c>
      <c r="H16" s="20" t="n">
        <v>2.49794725</v>
      </c>
      <c r="I16" s="18" t="s">
        <v>349</v>
      </c>
      <c r="J16" s="20" t="s">
        <v>349</v>
      </c>
      <c r="K16" s="18" t="n">
        <v>0.29369554</v>
      </c>
      <c r="L16" s="20" t="n">
        <v>0.22027634</v>
      </c>
      <c r="M16" s="18" t="n">
        <v>0</v>
      </c>
      <c r="N16" s="20" t="n">
        <v>0</v>
      </c>
      <c r="O16" s="18" t="n">
        <v>0</v>
      </c>
      <c r="P16" s="20" t="n">
        <v>0</v>
      </c>
      <c r="Q16" s="18" t="n">
        <v>2.17595398</v>
      </c>
      <c r="R16" s="20" t="n">
        <v>0.7862556000000001</v>
      </c>
    </row>
    <row r="17" spans="1:18">
      <c r="A17" s="15" t="s">
        <v>359</v>
      </c>
      <c r="B17" s="17" t="n">
        <v>3197</v>
      </c>
      <c r="C17" s="18">
        <f>(2818.0/B17*100)</f>
        <v/>
      </c>
      <c r="D17" s="19" t="n">
        <v>379</v>
      </c>
      <c r="E17" s="18" t="n">
        <v>59.01963899</v>
      </c>
      <c r="F17" s="20" t="n">
        <v>2.45949373</v>
      </c>
      <c r="G17" s="18" t="n">
        <v>40.13737223</v>
      </c>
      <c r="H17" s="20" t="n">
        <v>2.42355511</v>
      </c>
      <c r="I17" s="18" t="s">
        <v>349</v>
      </c>
      <c r="J17" s="20" t="s">
        <v>349</v>
      </c>
      <c r="K17" s="18" t="n">
        <v>0</v>
      </c>
      <c r="L17" s="20" t="n">
        <v>0</v>
      </c>
      <c r="M17" s="18" t="n">
        <v>0</v>
      </c>
      <c r="N17" s="20" t="n">
        <v>0</v>
      </c>
      <c r="O17" s="18" t="n">
        <v>0</v>
      </c>
      <c r="P17" s="20" t="n">
        <v>0</v>
      </c>
      <c r="Q17" s="18" t="n">
        <v>0.84298878</v>
      </c>
      <c r="R17" s="20" t="n">
        <v>0.51965557</v>
      </c>
    </row>
    <row r="18" spans="1:18">
      <c r="A18" s="15" t="s">
        <v>360</v>
      </c>
      <c r="B18" s="17" t="n">
        <v>2706</v>
      </c>
      <c r="C18" s="18">
        <f>(2363.0/B18*100)</f>
        <v/>
      </c>
      <c r="D18" s="19" t="n">
        <v>343</v>
      </c>
      <c r="E18" s="18" t="n">
        <v>59.5776725</v>
      </c>
      <c r="F18" s="20" t="n">
        <v>3.03284454</v>
      </c>
      <c r="G18" s="18" t="n">
        <v>38.96669282</v>
      </c>
      <c r="H18" s="20" t="n">
        <v>2.94231992</v>
      </c>
      <c r="I18" s="18" t="s">
        <v>349</v>
      </c>
      <c r="J18" s="20" t="s">
        <v>349</v>
      </c>
      <c r="K18" s="18" t="n">
        <v>0</v>
      </c>
      <c r="L18" s="20" t="n">
        <v>0</v>
      </c>
      <c r="M18" s="18" t="n">
        <v>0</v>
      </c>
      <c r="N18" s="20" t="n">
        <v>0</v>
      </c>
      <c r="O18" s="18" t="n">
        <v>0</v>
      </c>
      <c r="P18" s="20" t="n">
        <v>0</v>
      </c>
      <c r="Q18" s="18" t="n">
        <v>1.45563468</v>
      </c>
      <c r="R18" s="20" t="n">
        <v>0.7258925000000001</v>
      </c>
    </row>
    <row r="19" spans="1:18">
      <c r="A19" s="15" t="s">
        <v>361</v>
      </c>
      <c r="B19" s="17" t="n">
        <v>2850</v>
      </c>
      <c r="C19" s="18">
        <f>(2491.0/B19*100)</f>
        <v/>
      </c>
      <c r="D19" s="19" t="n">
        <v>359</v>
      </c>
      <c r="E19" s="18" t="n">
        <v>67.56401104</v>
      </c>
      <c r="F19" s="20" t="n">
        <v>2.53843964</v>
      </c>
      <c r="G19" s="18" t="n">
        <v>31.62392981</v>
      </c>
      <c r="H19" s="20" t="n">
        <v>2.5334274</v>
      </c>
      <c r="I19" s="18" t="s">
        <v>349</v>
      </c>
      <c r="J19" s="20" t="s">
        <v>349</v>
      </c>
      <c r="K19" s="18" t="n">
        <v>0.29326665</v>
      </c>
      <c r="L19" s="20" t="n">
        <v>0.29269394</v>
      </c>
      <c r="M19" s="18" t="n">
        <v>0</v>
      </c>
      <c r="N19" s="20" t="n">
        <v>0</v>
      </c>
      <c r="O19" s="18" t="n">
        <v>0</v>
      </c>
      <c r="P19" s="20" t="n">
        <v>0</v>
      </c>
      <c r="Q19" s="18" t="n">
        <v>0.5187925</v>
      </c>
      <c r="R19" s="20" t="n">
        <v>0.36870326</v>
      </c>
    </row>
    <row r="20" spans="1:18">
      <c r="A20" s="15" t="s">
        <v>362</v>
      </c>
      <c r="B20" s="17" t="n">
        <v>1741</v>
      </c>
      <c r="C20" s="18">
        <f>(1533.0/B20*100)</f>
        <v/>
      </c>
      <c r="D20" s="19" t="n">
        <v>208</v>
      </c>
      <c r="E20" s="18" t="n">
        <v>63.06024725</v>
      </c>
      <c r="F20" s="20" t="n">
        <v>3.47273589</v>
      </c>
      <c r="G20" s="18" t="n">
        <v>34.67093941</v>
      </c>
      <c r="H20" s="20" t="n">
        <v>3.46536459</v>
      </c>
      <c r="I20" s="18" t="s">
        <v>349</v>
      </c>
      <c r="J20" s="20" t="s">
        <v>349</v>
      </c>
      <c r="K20" s="18" t="n">
        <v>0.93040282</v>
      </c>
      <c r="L20" s="20" t="n">
        <v>0.66324405</v>
      </c>
      <c r="M20" s="18" t="n">
        <v>0</v>
      </c>
      <c r="N20" s="20" t="n">
        <v>0</v>
      </c>
      <c r="O20" s="18" t="n">
        <v>0</v>
      </c>
      <c r="P20" s="20" t="n">
        <v>0</v>
      </c>
      <c r="Q20" s="18" t="n">
        <v>1.33841052</v>
      </c>
      <c r="R20" s="20" t="n">
        <v>0.94695763</v>
      </c>
    </row>
    <row r="21" spans="1:18">
      <c r="A21" s="15" t="s">
        <v>363</v>
      </c>
      <c r="B21" s="17" t="n">
        <v>2833</v>
      </c>
      <c r="C21" s="18">
        <f>(2358.0/B21*100)</f>
        <v/>
      </c>
      <c r="D21" s="19" t="n">
        <v>475</v>
      </c>
      <c r="E21" s="18" t="n">
        <v>63.85706093</v>
      </c>
      <c r="F21" s="20" t="n">
        <v>2.06731415</v>
      </c>
      <c r="G21" s="18" t="n">
        <v>35.3838955</v>
      </c>
      <c r="H21" s="20" t="n">
        <v>2.08567291</v>
      </c>
      <c r="I21" s="18" t="s">
        <v>349</v>
      </c>
      <c r="J21" s="20" t="s">
        <v>349</v>
      </c>
      <c r="K21" s="18" t="n">
        <v>0</v>
      </c>
      <c r="L21" s="20" t="n">
        <v>0</v>
      </c>
      <c r="M21" s="18" t="n">
        <v>0</v>
      </c>
      <c r="N21" s="20" t="n">
        <v>0</v>
      </c>
      <c r="O21" s="18" t="n">
        <v>0</v>
      </c>
      <c r="P21" s="20" t="n">
        <v>0</v>
      </c>
      <c r="Q21" s="18" t="n">
        <v>0.75904357</v>
      </c>
      <c r="R21" s="20" t="n">
        <v>0.48300366</v>
      </c>
    </row>
    <row r="22" spans="1:18">
      <c r="A22" s="15" t="s">
        <v>364</v>
      </c>
      <c r="B22" s="17" t="n">
        <v>3667</v>
      </c>
      <c r="C22" s="18">
        <f>(3198.0/B22*100)</f>
        <v/>
      </c>
      <c r="D22" s="19" t="n">
        <v>469</v>
      </c>
      <c r="E22" s="18" t="n">
        <v>60.43649752</v>
      </c>
      <c r="F22" s="20" t="n">
        <v>2.41799649</v>
      </c>
      <c r="G22" s="18" t="n">
        <v>36.51751887</v>
      </c>
      <c r="H22" s="20" t="n">
        <v>2.33132413</v>
      </c>
      <c r="I22" s="18" t="s">
        <v>349</v>
      </c>
      <c r="J22" s="20" t="s">
        <v>349</v>
      </c>
      <c r="K22" s="18" t="n">
        <v>0.36158845</v>
      </c>
      <c r="L22" s="20" t="n">
        <v>0.25601734</v>
      </c>
      <c r="M22" s="18" t="n">
        <v>0</v>
      </c>
      <c r="N22" s="20" t="n">
        <v>0</v>
      </c>
      <c r="O22" s="18" t="n">
        <v>0</v>
      </c>
      <c r="P22" s="20" t="n">
        <v>0</v>
      </c>
      <c r="Q22" s="18" t="n">
        <v>2.68439516</v>
      </c>
      <c r="R22" s="20" t="n">
        <v>0.68587422</v>
      </c>
    </row>
    <row r="23" spans="1:18">
      <c r="A23" s="15" t="s">
        <v>365</v>
      </c>
      <c r="B23" s="17" t="n">
        <v>5792</v>
      </c>
      <c r="C23" s="18">
        <f>(5090.0/B23*100)</f>
        <v/>
      </c>
      <c r="D23" s="19" t="n">
        <v>702</v>
      </c>
      <c r="E23" s="18" t="n">
        <v>63.39330312</v>
      </c>
      <c r="F23" s="20" t="n">
        <v>2.41787493</v>
      </c>
      <c r="G23" s="18" t="n">
        <v>33.70418946</v>
      </c>
      <c r="H23" s="20" t="n">
        <v>2.31544331</v>
      </c>
      <c r="I23" s="18" t="s">
        <v>349</v>
      </c>
      <c r="J23" s="20" t="s">
        <v>349</v>
      </c>
      <c r="K23" s="18" t="n">
        <v>0.17267436</v>
      </c>
      <c r="L23" s="20" t="n">
        <v>0.16754037</v>
      </c>
      <c r="M23" s="18" t="n">
        <v>0</v>
      </c>
      <c r="N23" s="20" t="n">
        <v>0</v>
      </c>
      <c r="O23" s="18" t="n">
        <v>0</v>
      </c>
      <c r="P23" s="20" t="n">
        <v>0</v>
      </c>
      <c r="Q23" s="18" t="n">
        <v>2.72983305</v>
      </c>
      <c r="R23" s="20" t="n">
        <v>0.84685738</v>
      </c>
    </row>
    <row r="24" spans="1:18">
      <c r="A24" s="15" t="s">
        <v>366</v>
      </c>
      <c r="B24" s="17" t="n">
        <v>3309</v>
      </c>
      <c r="C24" s="18">
        <f>(2903.0/B24*100)</f>
        <v/>
      </c>
      <c r="D24" s="19" t="n">
        <v>406</v>
      </c>
      <c r="E24" s="18" t="n">
        <v>47.83596226</v>
      </c>
      <c r="F24" s="20" t="n">
        <v>2.09706398</v>
      </c>
      <c r="G24" s="18" t="n">
        <v>51.22360536</v>
      </c>
      <c r="H24" s="20" t="n">
        <v>2.06656523</v>
      </c>
      <c r="I24" s="18" t="s">
        <v>349</v>
      </c>
      <c r="J24" s="20" t="s">
        <v>349</v>
      </c>
      <c r="K24" s="18" t="n">
        <v>0</v>
      </c>
      <c r="L24" s="20" t="n">
        <v>0</v>
      </c>
      <c r="M24" s="18" t="n">
        <v>0</v>
      </c>
      <c r="N24" s="20" t="n">
        <v>0</v>
      </c>
      <c r="O24" s="18" t="n">
        <v>0</v>
      </c>
      <c r="P24" s="20" t="n">
        <v>0</v>
      </c>
      <c r="Q24" s="18" t="n">
        <v>0.94043238</v>
      </c>
      <c r="R24" s="20" t="n">
        <v>0.45563145</v>
      </c>
    </row>
    <row r="25" spans="1:18">
      <c r="A25" s="15" t="s">
        <v>367</v>
      </c>
      <c r="B25" s="17" t="n">
        <v>2669</v>
      </c>
      <c r="C25" s="18">
        <f>(2330.0/B25*100)</f>
        <v/>
      </c>
      <c r="D25" s="19" t="n">
        <v>339</v>
      </c>
      <c r="E25" s="18" t="n">
        <v>44.8625703</v>
      </c>
      <c r="F25" s="20" t="n">
        <v>3.116536</v>
      </c>
      <c r="G25" s="18" t="n">
        <v>54.58829711</v>
      </c>
      <c r="H25" s="20" t="n">
        <v>3.0765411</v>
      </c>
      <c r="I25" s="18" t="s">
        <v>349</v>
      </c>
      <c r="J25" s="20" t="s">
        <v>349</v>
      </c>
      <c r="K25" s="18" t="n">
        <v>0.30639674</v>
      </c>
      <c r="L25" s="20" t="n">
        <v>0.30463023</v>
      </c>
      <c r="M25" s="18" t="n">
        <v>0</v>
      </c>
      <c r="N25" s="20" t="n">
        <v>0</v>
      </c>
      <c r="O25" s="18" t="n">
        <v>0</v>
      </c>
      <c r="P25" s="20" t="n">
        <v>0</v>
      </c>
      <c r="Q25" s="18" t="n">
        <v>0.24273585</v>
      </c>
      <c r="R25" s="20" t="n">
        <v>0.26279796</v>
      </c>
    </row>
    <row r="26" spans="1:18">
      <c r="A26" s="15" t="s">
        <v>368</v>
      </c>
      <c r="B26" s="17" t="n">
        <v>2419</v>
      </c>
      <c r="C26" s="18">
        <f>(2129.0/B26*100)</f>
        <v/>
      </c>
      <c r="D26" s="19" t="n">
        <v>290</v>
      </c>
      <c r="E26" s="18" t="n">
        <v>54.17271661</v>
      </c>
      <c r="F26" s="20" t="n">
        <v>3.13191286</v>
      </c>
      <c r="G26" s="18" t="n">
        <v>45.50657348</v>
      </c>
      <c r="H26" s="20" t="n">
        <v>3.15080442</v>
      </c>
      <c r="I26" s="18" t="s">
        <v>349</v>
      </c>
      <c r="J26" s="20" t="s">
        <v>349</v>
      </c>
      <c r="K26" s="18" t="n">
        <v>0</v>
      </c>
      <c r="L26" s="20" t="n">
        <v>0</v>
      </c>
      <c r="M26" s="18" t="n">
        <v>0</v>
      </c>
      <c r="N26" s="20" t="n">
        <v>0</v>
      </c>
      <c r="O26" s="18" t="n">
        <v>0</v>
      </c>
      <c r="P26" s="20" t="n">
        <v>0</v>
      </c>
      <c r="Q26" s="18" t="n">
        <v>0.32070991</v>
      </c>
      <c r="R26" s="20" t="n">
        <v>0.314602</v>
      </c>
    </row>
    <row r="27" spans="1:18">
      <c r="A27" s="15" t="s">
        <v>369</v>
      </c>
      <c r="B27" s="17" t="n">
        <v>2683</v>
      </c>
      <c r="C27" s="18">
        <f>(2355.0/B27*100)</f>
        <v/>
      </c>
      <c r="D27" s="19" t="n">
        <v>328</v>
      </c>
      <c r="E27" s="18" t="n">
        <v>62.46934479</v>
      </c>
      <c r="F27" s="20" t="n">
        <v>2.73884446</v>
      </c>
      <c r="G27" s="18" t="n">
        <v>36.30585325</v>
      </c>
      <c r="H27" s="20" t="n">
        <v>2.80948622</v>
      </c>
      <c r="I27" s="18" t="s">
        <v>349</v>
      </c>
      <c r="J27" s="20" t="s">
        <v>349</v>
      </c>
      <c r="K27" s="18" t="n">
        <v>0</v>
      </c>
      <c r="L27" s="20" t="n">
        <v>0</v>
      </c>
      <c r="M27" s="18" t="n">
        <v>0</v>
      </c>
      <c r="N27" s="20" t="n">
        <v>0</v>
      </c>
      <c r="O27" s="18" t="n">
        <v>0</v>
      </c>
      <c r="P27" s="20" t="n">
        <v>0</v>
      </c>
      <c r="Q27" s="18" t="n">
        <v>1.22480196</v>
      </c>
      <c r="R27" s="20" t="n">
        <v>0.61729597</v>
      </c>
    </row>
    <row r="28" spans="1:18">
      <c r="A28" s="15" t="s">
        <v>370</v>
      </c>
      <c r="B28" s="17" t="n">
        <v>3803</v>
      </c>
      <c r="C28" s="18">
        <f>(3351.0/B28*100)</f>
        <v/>
      </c>
      <c r="D28" s="19" t="n">
        <v>452</v>
      </c>
      <c r="E28" s="18" t="n">
        <v>72.57877164</v>
      </c>
      <c r="F28" s="20" t="n">
        <v>2.10313159</v>
      </c>
      <c r="G28" s="18" t="n">
        <v>25.5844299</v>
      </c>
      <c r="H28" s="20" t="n">
        <v>2.03558644</v>
      </c>
      <c r="I28" s="18" t="s">
        <v>349</v>
      </c>
      <c r="J28" s="20" t="s">
        <v>349</v>
      </c>
      <c r="K28" s="18" t="n">
        <v>0.65439646</v>
      </c>
      <c r="L28" s="20" t="n">
        <v>0.46941623</v>
      </c>
      <c r="M28" s="18" t="n">
        <v>0</v>
      </c>
      <c r="N28" s="20" t="n">
        <v>0</v>
      </c>
      <c r="O28" s="18" t="n">
        <v>0</v>
      </c>
      <c r="P28" s="20" t="n">
        <v>0</v>
      </c>
      <c r="Q28" s="18" t="n">
        <v>1.18240199</v>
      </c>
      <c r="R28" s="20" t="n">
        <v>0.521111</v>
      </c>
    </row>
    <row r="29" spans="1:18">
      <c r="A29" s="15" t="s">
        <v>371</v>
      </c>
      <c r="B29" s="17" t="n">
        <v>2700</v>
      </c>
      <c r="C29" s="18">
        <f>(2358.0/B29*100)</f>
        <v/>
      </c>
      <c r="D29" s="19" t="n">
        <v>342</v>
      </c>
      <c r="E29" s="18" t="n">
        <v>52.53804319</v>
      </c>
      <c r="F29" s="20" t="n">
        <v>2.63222047</v>
      </c>
      <c r="G29" s="18" t="n">
        <v>46.12736157</v>
      </c>
      <c r="H29" s="20" t="n">
        <v>2.61154473</v>
      </c>
      <c r="I29" s="18" t="s">
        <v>349</v>
      </c>
      <c r="J29" s="20" t="s">
        <v>349</v>
      </c>
      <c r="K29" s="18" t="n">
        <v>0.38060431</v>
      </c>
      <c r="L29" s="20" t="n">
        <v>0.29319164</v>
      </c>
      <c r="M29" s="18" t="n">
        <v>0</v>
      </c>
      <c r="N29" s="20" t="n">
        <v>0</v>
      </c>
      <c r="O29" s="18" t="n">
        <v>0</v>
      </c>
      <c r="P29" s="20" t="n">
        <v>0</v>
      </c>
      <c r="Q29" s="18" t="n">
        <v>0.95399093</v>
      </c>
      <c r="R29" s="20" t="n">
        <v>0.5508466</v>
      </c>
    </row>
    <row r="30" spans="1:18">
      <c r="A30" s="15" t="s">
        <v>372</v>
      </c>
      <c r="B30" s="17" t="n">
        <v>2257</v>
      </c>
      <c r="C30" s="18">
        <f>(1972.0/B30*100)</f>
        <v/>
      </c>
      <c r="D30" s="19" t="n">
        <v>285</v>
      </c>
      <c r="E30" s="18" t="n">
        <v>52.22337606</v>
      </c>
      <c r="F30" s="20" t="n">
        <v>2.76132018</v>
      </c>
      <c r="G30" s="18" t="n">
        <v>46.41983818</v>
      </c>
      <c r="H30" s="20" t="n">
        <v>2.75825387</v>
      </c>
      <c r="I30" s="18" t="s">
        <v>349</v>
      </c>
      <c r="J30" s="20" t="s">
        <v>349</v>
      </c>
      <c r="K30" s="18" t="n">
        <v>0</v>
      </c>
      <c r="L30" s="20" t="n">
        <v>0</v>
      </c>
      <c r="M30" s="18" t="n">
        <v>0</v>
      </c>
      <c r="N30" s="20" t="n">
        <v>0</v>
      </c>
      <c r="O30" s="18" t="n">
        <v>0</v>
      </c>
      <c r="P30" s="20" t="n">
        <v>0</v>
      </c>
      <c r="Q30" s="18" t="n">
        <v>1.35678576</v>
      </c>
      <c r="R30" s="20" t="n">
        <v>0.83167146</v>
      </c>
    </row>
    <row r="31" spans="1:18">
      <c r="A31" s="15" t="s">
        <v>373</v>
      </c>
      <c r="B31" s="17" t="n">
        <v>2706</v>
      </c>
      <c r="C31" s="18">
        <f>(2386.0/B31*100)</f>
        <v/>
      </c>
      <c r="D31" s="19" t="n">
        <v>320</v>
      </c>
      <c r="E31" s="18" t="n">
        <v>51.45277358</v>
      </c>
      <c r="F31" s="20" t="n">
        <v>2.87588075</v>
      </c>
      <c r="G31" s="18" t="n">
        <v>46.38294452</v>
      </c>
      <c r="H31" s="20" t="n">
        <v>2.82777307</v>
      </c>
      <c r="I31" s="18" t="s">
        <v>349</v>
      </c>
      <c r="J31" s="20" t="s">
        <v>349</v>
      </c>
      <c r="K31" s="18" t="n">
        <v>0</v>
      </c>
      <c r="L31" s="20" t="n">
        <v>0</v>
      </c>
      <c r="M31" s="18" t="n">
        <v>0</v>
      </c>
      <c r="N31" s="20" t="n">
        <v>0</v>
      </c>
      <c r="O31" s="18" t="n">
        <v>0</v>
      </c>
      <c r="P31" s="20" t="n">
        <v>0</v>
      </c>
      <c r="Q31" s="18" t="n">
        <v>2.16428189</v>
      </c>
      <c r="R31" s="20" t="n">
        <v>0.81248833</v>
      </c>
    </row>
    <row r="32" spans="1:18">
      <c r="A32" s="15" t="s">
        <v>374</v>
      </c>
      <c r="B32" s="17" t="n">
        <v>2209</v>
      </c>
      <c r="C32" s="18">
        <f>(1838.0/B32*100)</f>
        <v/>
      </c>
      <c r="D32" s="19" t="n">
        <v>371</v>
      </c>
      <c r="E32" s="18" t="n">
        <v>53.8355187</v>
      </c>
      <c r="F32" s="20" t="n">
        <v>2.72828782</v>
      </c>
      <c r="G32" s="18" t="n">
        <v>45.66090871</v>
      </c>
      <c r="H32" s="20" t="n">
        <v>2.73610937</v>
      </c>
      <c r="I32" s="18" t="s">
        <v>349</v>
      </c>
      <c r="J32" s="20" t="s">
        <v>349</v>
      </c>
      <c r="K32" s="18" t="n">
        <v>0.25549054</v>
      </c>
      <c r="L32" s="20" t="n">
        <v>0.26770288</v>
      </c>
      <c r="M32" s="18" t="n">
        <v>0</v>
      </c>
      <c r="N32" s="20" t="n">
        <v>0</v>
      </c>
      <c r="O32" s="18" t="n">
        <v>0</v>
      </c>
      <c r="P32" s="20" t="n">
        <v>0</v>
      </c>
      <c r="Q32" s="18" t="n">
        <v>0.24808205</v>
      </c>
      <c r="R32" s="20" t="n">
        <v>0.24767103</v>
      </c>
    </row>
    <row r="33" spans="1:18">
      <c r="A33" s="15" t="s">
        <v>375</v>
      </c>
      <c r="B33" s="17" t="n">
        <v>3651</v>
      </c>
      <c r="C33" s="18">
        <f>(3204.0/B33*100)</f>
        <v/>
      </c>
      <c r="D33" s="19" t="n">
        <v>447</v>
      </c>
      <c r="E33" s="18" t="n">
        <v>55.62927754</v>
      </c>
      <c r="F33" s="20" t="n">
        <v>2.83973189</v>
      </c>
      <c r="G33" s="18" t="n">
        <v>44.31680832</v>
      </c>
      <c r="H33" s="20" t="n">
        <v>2.82858486</v>
      </c>
      <c r="I33" s="18" t="s">
        <v>349</v>
      </c>
      <c r="J33" s="20" t="s">
        <v>349</v>
      </c>
      <c r="K33" s="18" t="n">
        <v>0</v>
      </c>
      <c r="L33" s="20" t="n">
        <v>0</v>
      </c>
      <c r="M33" s="18" t="n">
        <v>0</v>
      </c>
      <c r="N33" s="20" t="n">
        <v>0</v>
      </c>
      <c r="O33" s="18" t="n">
        <v>0</v>
      </c>
      <c r="P33" s="20" t="n">
        <v>0</v>
      </c>
      <c r="Q33" s="18" t="n">
        <v>0.05391414</v>
      </c>
      <c r="R33" s="20" t="n">
        <v>0.05416839</v>
      </c>
    </row>
    <row r="34" spans="1:18">
      <c r="A34" s="15" t="s">
        <v>376</v>
      </c>
      <c r="B34" s="17" t="n">
        <v>3035</v>
      </c>
      <c r="C34" s="18">
        <f>(2669.0/B34*100)</f>
        <v/>
      </c>
      <c r="D34" s="19" t="n">
        <v>366</v>
      </c>
      <c r="E34" s="18" t="n">
        <v>60.61448886</v>
      </c>
      <c r="F34" s="20" t="n">
        <v>2.39505335</v>
      </c>
      <c r="G34" s="18" t="n">
        <v>39.38551114</v>
      </c>
      <c r="H34" s="20" t="n">
        <v>2.39505335</v>
      </c>
      <c r="I34" s="18" t="s">
        <v>349</v>
      </c>
      <c r="J34" s="20" t="s">
        <v>349</v>
      </c>
      <c r="K34" s="18" t="n">
        <v>0</v>
      </c>
      <c r="L34" s="20" t="n">
        <v>0</v>
      </c>
      <c r="M34" s="18" t="n">
        <v>0</v>
      </c>
      <c r="N34" s="20" t="n">
        <v>0</v>
      </c>
      <c r="O34" s="18" t="n">
        <v>0</v>
      </c>
      <c r="P34" s="20" t="n">
        <v>0</v>
      </c>
      <c r="Q34" s="18" t="n">
        <v>0</v>
      </c>
      <c r="R34" s="20" t="n">
        <v>0</v>
      </c>
    </row>
    <row r="35" spans="1:18">
      <c r="A35" s="15" t="s">
        <v>377</v>
      </c>
      <c r="B35" s="17" t="n">
        <v>2901</v>
      </c>
      <c r="C35" s="18">
        <f>(2520.0/B35*100)</f>
        <v/>
      </c>
      <c r="D35" s="19" t="n">
        <v>381</v>
      </c>
      <c r="E35" s="18" t="n">
        <v>59.55220361</v>
      </c>
      <c r="F35" s="20" t="n">
        <v>2.96481512</v>
      </c>
      <c r="G35" s="18" t="n">
        <v>40.22423427</v>
      </c>
      <c r="H35" s="20" t="n">
        <v>2.94971064</v>
      </c>
      <c r="I35" s="18" t="s">
        <v>349</v>
      </c>
      <c r="J35" s="20" t="s">
        <v>349</v>
      </c>
      <c r="K35" s="18" t="n">
        <v>0.09890655</v>
      </c>
      <c r="L35" s="20" t="n">
        <v>0.09973542000000001</v>
      </c>
      <c r="M35" s="18" t="n">
        <v>0</v>
      </c>
      <c r="N35" s="20" t="n">
        <v>0</v>
      </c>
      <c r="O35" s="18" t="n">
        <v>0</v>
      </c>
      <c r="P35" s="20" t="n">
        <v>0</v>
      </c>
      <c r="Q35" s="18" t="n">
        <v>0.12465556</v>
      </c>
      <c r="R35" s="20" t="n">
        <v>0.12569336</v>
      </c>
    </row>
    <row r="36" spans="1:18">
      <c r="A36" s="15" t="s">
        <v>378</v>
      </c>
      <c r="B36" s="17" t="n">
        <v>3404</v>
      </c>
      <c r="C36" s="18">
        <f>(2975.0/B36*100)</f>
        <v/>
      </c>
      <c r="D36" s="19" t="n">
        <v>429</v>
      </c>
      <c r="E36" s="18" t="n">
        <v>55.33022514</v>
      </c>
      <c r="F36" s="20" t="n">
        <v>2.42328112</v>
      </c>
      <c r="G36" s="18" t="n">
        <v>43.61754847</v>
      </c>
      <c r="H36" s="20" t="n">
        <v>2.32993863</v>
      </c>
      <c r="I36" s="18" t="s">
        <v>349</v>
      </c>
      <c r="J36" s="20" t="s">
        <v>349</v>
      </c>
      <c r="K36" s="18" t="n">
        <v>0.3829766</v>
      </c>
      <c r="L36" s="20" t="n">
        <v>0.34182036</v>
      </c>
      <c r="M36" s="18" t="n">
        <v>0</v>
      </c>
      <c r="N36" s="20" t="n">
        <v>0</v>
      </c>
      <c r="O36" s="18" t="n">
        <v>0</v>
      </c>
      <c r="P36" s="20" t="n">
        <v>0</v>
      </c>
      <c r="Q36" s="18" t="n">
        <v>0.66924979</v>
      </c>
      <c r="R36" s="20" t="n">
        <v>0.36935216</v>
      </c>
    </row>
    <row r="37" spans="1:18">
      <c r="A37" s="15" t="s">
        <v>379</v>
      </c>
      <c r="B37" s="17" t="n">
        <v>2731</v>
      </c>
      <c r="C37" s="18">
        <f>(2383.0/B37*100)</f>
        <v/>
      </c>
      <c r="D37" s="19" t="n">
        <v>348</v>
      </c>
      <c r="E37" s="18" t="n">
        <v>54.64395455</v>
      </c>
      <c r="F37" s="20" t="n">
        <v>2.84961567</v>
      </c>
      <c r="G37" s="18" t="n">
        <v>44.85070324</v>
      </c>
      <c r="H37" s="20" t="n">
        <v>2.83475984</v>
      </c>
      <c r="I37" s="18" t="s">
        <v>349</v>
      </c>
      <c r="J37" s="20" t="s">
        <v>349</v>
      </c>
      <c r="K37" s="18" t="n">
        <v>0</v>
      </c>
      <c r="L37" s="20" t="n">
        <v>0</v>
      </c>
      <c r="M37" s="18" t="n">
        <v>0</v>
      </c>
      <c r="N37" s="20" t="n">
        <v>0</v>
      </c>
      <c r="O37" s="18" t="n">
        <v>0</v>
      </c>
      <c r="P37" s="20" t="n">
        <v>0</v>
      </c>
      <c r="Q37" s="18" t="n">
        <v>0.50534221</v>
      </c>
      <c r="R37" s="20" t="n">
        <v>0.36482176</v>
      </c>
    </row>
    <row r="38" spans="1:18">
      <c r="A38" s="15" t="s">
        <v>380</v>
      </c>
      <c r="B38" s="17" t="n">
        <v>2807</v>
      </c>
      <c r="C38" s="18">
        <f>(2325.0/B38*100)</f>
        <v/>
      </c>
      <c r="D38" s="19" t="n">
        <v>482</v>
      </c>
      <c r="E38" s="18" t="n">
        <v>49.11684441</v>
      </c>
      <c r="F38" s="20" t="n">
        <v>2.86607722</v>
      </c>
      <c r="G38" s="18" t="n">
        <v>50.13291602</v>
      </c>
      <c r="H38" s="20" t="n">
        <v>2.91384838</v>
      </c>
      <c r="I38" s="18" t="s">
        <v>349</v>
      </c>
      <c r="J38" s="20" t="s">
        <v>349</v>
      </c>
      <c r="K38" s="18" t="n">
        <v>0</v>
      </c>
      <c r="L38" s="20" t="n">
        <v>0</v>
      </c>
      <c r="M38" s="18" t="n">
        <v>0</v>
      </c>
      <c r="N38" s="20" t="n">
        <v>0</v>
      </c>
      <c r="O38" s="18" t="n">
        <v>0</v>
      </c>
      <c r="P38" s="20" t="n">
        <v>0</v>
      </c>
      <c r="Q38" s="18" t="n">
        <v>0.75023956</v>
      </c>
      <c r="R38" s="20" t="n">
        <v>0.41497518</v>
      </c>
    </row>
    <row r="39" spans="1:18">
      <c r="A39" s="15" t="s">
        <v>381</v>
      </c>
      <c r="B39" s="17" t="n">
        <v>2938</v>
      </c>
      <c r="C39" s="18">
        <f>(2601.0/B39*100)</f>
        <v/>
      </c>
      <c r="D39" s="19" t="n">
        <v>337</v>
      </c>
      <c r="E39" s="18" t="n">
        <v>68.57284346</v>
      </c>
      <c r="F39" s="20" t="n">
        <v>2.51598536</v>
      </c>
      <c r="G39" s="18" t="n">
        <v>29.82106824</v>
      </c>
      <c r="H39" s="20" t="n">
        <v>2.62528537</v>
      </c>
      <c r="I39" s="18" t="s">
        <v>349</v>
      </c>
      <c r="J39" s="20" t="s">
        <v>349</v>
      </c>
      <c r="K39" s="18" t="n">
        <v>0.9266805299999999</v>
      </c>
      <c r="L39" s="20" t="n">
        <v>0.64898062</v>
      </c>
      <c r="M39" s="18" t="n">
        <v>0</v>
      </c>
      <c r="N39" s="20" t="n">
        <v>0</v>
      </c>
      <c r="O39" s="18" t="n">
        <v>0</v>
      </c>
      <c r="P39" s="20" t="n">
        <v>0</v>
      </c>
      <c r="Q39" s="18" t="n">
        <v>0.67940777</v>
      </c>
      <c r="R39" s="20" t="n">
        <v>0.39677495</v>
      </c>
    </row>
    <row r="40" spans="1:18">
      <c r="A40" s="15" t="s">
        <v>382</v>
      </c>
      <c r="B40" s="17" t="n">
        <v>6922</v>
      </c>
      <c r="C40" s="18">
        <f>(6091.0/B40*100)</f>
        <v/>
      </c>
      <c r="D40" s="19" t="n">
        <v>831</v>
      </c>
      <c r="E40" s="18" t="n">
        <v>60.38698065</v>
      </c>
      <c r="F40" s="20" t="n">
        <v>2.66084571</v>
      </c>
      <c r="G40" s="18" t="n">
        <v>38.29663015</v>
      </c>
      <c r="H40" s="20" t="n">
        <v>2.5786511</v>
      </c>
      <c r="I40" s="18" t="s">
        <v>349</v>
      </c>
      <c r="J40" s="20" t="s">
        <v>349</v>
      </c>
      <c r="K40" s="18" t="n">
        <v>0</v>
      </c>
      <c r="L40" s="20" t="n">
        <v>0</v>
      </c>
      <c r="M40" s="18" t="n">
        <v>0</v>
      </c>
      <c r="N40" s="20" t="n">
        <v>0</v>
      </c>
      <c r="O40" s="18" t="n">
        <v>0</v>
      </c>
      <c r="P40" s="20" t="n">
        <v>0</v>
      </c>
      <c r="Q40" s="18" t="n">
        <v>1.3163892</v>
      </c>
      <c r="R40" s="20" t="n">
        <v>0.69335509</v>
      </c>
    </row>
    <row r="41" spans="1:18">
      <c r="A41" s="15" t="s">
        <v>383</v>
      </c>
      <c r="B41" s="17" t="n">
        <v>2854</v>
      </c>
      <c r="C41" s="18">
        <f>(2504.0/B41*100)</f>
        <v/>
      </c>
      <c r="D41" s="19" t="n">
        <v>350</v>
      </c>
      <c r="E41" s="18" t="n">
        <v>64.33043781000001</v>
      </c>
      <c r="F41" s="20" t="n">
        <v>2.68842688</v>
      </c>
      <c r="G41" s="18" t="n">
        <v>34.80231666</v>
      </c>
      <c r="H41" s="20" t="n">
        <v>2.68766154</v>
      </c>
      <c r="I41" s="18" t="s">
        <v>349</v>
      </c>
      <c r="J41" s="20" t="s">
        <v>349</v>
      </c>
      <c r="K41" s="18" t="n">
        <v>0</v>
      </c>
      <c r="L41" s="20" t="n">
        <v>0</v>
      </c>
      <c r="M41" s="18" t="n">
        <v>0</v>
      </c>
      <c r="N41" s="20" t="n">
        <v>0</v>
      </c>
      <c r="O41" s="18" t="n">
        <v>0</v>
      </c>
      <c r="P41" s="20" t="n">
        <v>0</v>
      </c>
      <c r="Q41" s="18" t="n">
        <v>0.86724553</v>
      </c>
      <c r="R41" s="20" t="n">
        <v>0.47785031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(10667.0/B46*100)</f>
        <v/>
      </c>
      <c r="D46" s="19" t="n">
        <v>1406</v>
      </c>
      <c r="E46" s="18" t="n">
        <v>78.01514383999999</v>
      </c>
      <c r="F46" s="20" t="n">
        <v>1.64498929</v>
      </c>
      <c r="G46" s="18" t="n">
        <v>17.29738768</v>
      </c>
      <c r="H46" s="20" t="n">
        <v>1.39687758</v>
      </c>
      <c r="I46" s="18" t="s">
        <v>349</v>
      </c>
      <c r="J46" s="20" t="s">
        <v>349</v>
      </c>
      <c r="K46" s="18" t="n">
        <v>0.15596723</v>
      </c>
      <c r="L46" s="20" t="n">
        <v>0.10911818</v>
      </c>
      <c r="M46" s="18" t="n">
        <v>0</v>
      </c>
      <c r="N46" s="20" t="n">
        <v>0</v>
      </c>
      <c r="O46" s="18" t="n">
        <v>0</v>
      </c>
      <c r="P46" s="20" t="n">
        <v>0</v>
      </c>
      <c r="Q46" s="18" t="n">
        <v>4.53150125</v>
      </c>
      <c r="R46" s="20" t="n">
        <v>0.78466928</v>
      </c>
    </row>
    <row r="47" spans="1:18">
      <c r="A47" s="15" t="s">
        <v>389</v>
      </c>
      <c r="B47" s="17" t="n">
        <v>2823</v>
      </c>
      <c r="C47" s="18">
        <f>(2470.0/B47*100)</f>
        <v/>
      </c>
      <c r="D47" s="19" t="n">
        <v>353</v>
      </c>
      <c r="E47" s="18" t="n">
        <v>67.85248684</v>
      </c>
      <c r="F47" s="20" t="n">
        <v>2.727576</v>
      </c>
      <c r="G47" s="18" t="n">
        <v>31.06987767</v>
      </c>
      <c r="H47" s="20" t="n">
        <v>2.82381662</v>
      </c>
      <c r="I47" s="18" t="s">
        <v>349</v>
      </c>
      <c r="J47" s="20" t="s">
        <v>349</v>
      </c>
      <c r="K47" s="18" t="n">
        <v>0</v>
      </c>
      <c r="L47" s="20" t="n">
        <v>0</v>
      </c>
      <c r="M47" s="18" t="n">
        <v>0</v>
      </c>
      <c r="N47" s="20" t="n">
        <v>0</v>
      </c>
      <c r="O47" s="18" t="n">
        <v>0</v>
      </c>
      <c r="P47" s="20" t="n">
        <v>0</v>
      </c>
      <c r="Q47" s="18" t="n">
        <v>1.07763549</v>
      </c>
      <c r="R47" s="20" t="n">
        <v>0.5391718</v>
      </c>
    </row>
    <row r="48" spans="1:18">
      <c r="A48" s="15" t="s">
        <v>390</v>
      </c>
      <c r="B48" s="17" t="n">
        <v>4682</v>
      </c>
      <c r="C48" s="18">
        <f>(4107.0/B48*100)</f>
        <v/>
      </c>
      <c r="D48" s="19" t="n">
        <v>575</v>
      </c>
      <c r="E48" s="18" t="n">
        <v>46.08990939</v>
      </c>
      <c r="F48" s="20" t="n">
        <v>3.39069249</v>
      </c>
      <c r="G48" s="18" t="n">
        <v>53.59980493</v>
      </c>
      <c r="H48" s="20" t="n">
        <v>3.38394595</v>
      </c>
      <c r="I48" s="18" t="s">
        <v>349</v>
      </c>
      <c r="J48" s="20" t="s">
        <v>349</v>
      </c>
      <c r="K48" s="18" t="n">
        <v>0</v>
      </c>
      <c r="L48" s="20" t="n">
        <v>0</v>
      </c>
      <c r="M48" s="18" t="n">
        <v>0</v>
      </c>
      <c r="N48" s="20" t="n">
        <v>0</v>
      </c>
      <c r="O48" s="18" t="n">
        <v>0</v>
      </c>
      <c r="P48" s="20" t="n">
        <v>0</v>
      </c>
      <c r="Q48" s="18" t="n">
        <v>0.31028569</v>
      </c>
      <c r="R48" s="20" t="n">
        <v>0.31134235</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(5431.0/B50*100)</f>
        <v/>
      </c>
      <c r="D50" s="19" t="n">
        <v>727</v>
      </c>
      <c r="E50" s="18" t="n">
        <v>73.66557958</v>
      </c>
      <c r="F50" s="20" t="n">
        <v>2.18684558</v>
      </c>
      <c r="G50" s="18" t="n">
        <v>24.88222219</v>
      </c>
      <c r="H50" s="20" t="n">
        <v>2.2197236</v>
      </c>
      <c r="I50" s="18" t="s">
        <v>349</v>
      </c>
      <c r="J50" s="20" t="s">
        <v>349</v>
      </c>
      <c r="K50" s="18" t="n">
        <v>0.6216608</v>
      </c>
      <c r="L50" s="20" t="n">
        <v>0.33562618</v>
      </c>
      <c r="M50" s="18" t="n">
        <v>0</v>
      </c>
      <c r="N50" s="20" t="n">
        <v>0</v>
      </c>
      <c r="O50" s="18" t="n">
        <v>0</v>
      </c>
      <c r="P50" s="20" t="n">
        <v>0</v>
      </c>
      <c r="Q50" s="18" t="n">
        <v>0.83053743</v>
      </c>
      <c r="R50" s="20" t="n">
        <v>0.42749841</v>
      </c>
    </row>
    <row r="51" spans="1:18">
      <c r="A51" s="15" t="s">
        <v>393</v>
      </c>
      <c r="B51" s="17" t="n">
        <v>3494</v>
      </c>
      <c r="C51" s="18">
        <f>(3121.0/B51*100)</f>
        <v/>
      </c>
      <c r="D51" s="19" t="n">
        <v>373</v>
      </c>
      <c r="E51" s="18" t="n">
        <v>69.27857161</v>
      </c>
      <c r="F51" s="20" t="n">
        <v>2.93610676</v>
      </c>
      <c r="G51" s="18" t="n">
        <v>29.68748003</v>
      </c>
      <c r="H51" s="20" t="n">
        <v>2.905968</v>
      </c>
      <c r="I51" s="18" t="s">
        <v>349</v>
      </c>
      <c r="J51" s="20" t="s">
        <v>349</v>
      </c>
      <c r="K51" s="18" t="n">
        <v>0</v>
      </c>
      <c r="L51" s="20" t="n">
        <v>0</v>
      </c>
      <c r="M51" s="18" t="n">
        <v>0</v>
      </c>
      <c r="N51" s="20" t="n">
        <v>0</v>
      </c>
      <c r="O51" s="18" t="n">
        <v>0</v>
      </c>
      <c r="P51" s="20" t="n">
        <v>0</v>
      </c>
      <c r="Q51" s="18" t="n">
        <v>1.03394836</v>
      </c>
      <c r="R51" s="20" t="n">
        <v>0.54023032</v>
      </c>
    </row>
    <row r="52" spans="1:18">
      <c r="A52" s="15" t="s">
        <v>394</v>
      </c>
      <c r="B52" s="17" t="n">
        <v>3013</v>
      </c>
      <c r="C52" s="18">
        <f>(2650.0/B52*100)</f>
        <v/>
      </c>
      <c r="D52" s="19" t="n">
        <v>363</v>
      </c>
      <c r="E52" s="18" t="n">
        <v>69.08738098000001</v>
      </c>
      <c r="F52" s="20" t="n">
        <v>2.75949417</v>
      </c>
      <c r="G52" s="18" t="n">
        <v>30.13777876</v>
      </c>
      <c r="H52" s="20" t="n">
        <v>2.73696348</v>
      </c>
      <c r="I52" s="18" t="s">
        <v>349</v>
      </c>
      <c r="J52" s="20" t="s">
        <v>349</v>
      </c>
      <c r="K52" s="18" t="n">
        <v>0</v>
      </c>
      <c r="L52" s="20" t="n">
        <v>0</v>
      </c>
      <c r="M52" s="18" t="n">
        <v>0</v>
      </c>
      <c r="N52" s="20" t="n">
        <v>0</v>
      </c>
      <c r="O52" s="18" t="n">
        <v>0</v>
      </c>
      <c r="P52" s="20" t="n">
        <v>0</v>
      </c>
      <c r="Q52" s="18" t="n">
        <v>0.77484027</v>
      </c>
      <c r="R52" s="20" t="n">
        <v>0.4416522</v>
      </c>
    </row>
    <row r="53" spans="1:18">
      <c r="A53" s="15" t="s">
        <v>395</v>
      </c>
      <c r="B53" s="17" t="n">
        <v>2760</v>
      </c>
      <c r="C53" s="18">
        <f>(2427.0/B53*100)</f>
        <v/>
      </c>
      <c r="D53" s="19" t="n">
        <v>333</v>
      </c>
      <c r="E53" s="18" t="n">
        <v>59.3001881</v>
      </c>
      <c r="F53" s="20" t="n">
        <v>2.49476183</v>
      </c>
      <c r="G53" s="18" t="n">
        <v>40.44999066</v>
      </c>
      <c r="H53" s="20" t="n">
        <v>2.52877</v>
      </c>
      <c r="I53" s="18" t="s">
        <v>349</v>
      </c>
      <c r="J53" s="20" t="s">
        <v>349</v>
      </c>
      <c r="K53" s="18" t="n">
        <v>0</v>
      </c>
      <c r="L53" s="20" t="n">
        <v>0</v>
      </c>
      <c r="M53" s="18" t="n">
        <v>0</v>
      </c>
      <c r="N53" s="20" t="n">
        <v>0</v>
      </c>
      <c r="O53" s="18" t="n">
        <v>0</v>
      </c>
      <c r="P53" s="20" t="n">
        <v>0</v>
      </c>
      <c r="Q53" s="18" t="n">
        <v>0.24982123</v>
      </c>
      <c r="R53" s="20" t="n">
        <v>0.24833313</v>
      </c>
    </row>
    <row r="54" spans="1:18">
      <c r="A54" s="15" t="s">
        <v>396</v>
      </c>
      <c r="B54" s="17" t="n">
        <v>2474</v>
      </c>
      <c r="C54" s="18">
        <f>(2044.0/B54*100)</f>
        <v/>
      </c>
      <c r="D54" s="19" t="n">
        <v>430</v>
      </c>
      <c r="E54" s="18" t="n">
        <v>75.11775827</v>
      </c>
      <c r="F54" s="20" t="n">
        <v>2.31801198</v>
      </c>
      <c r="G54" s="18" t="n">
        <v>14.97925488</v>
      </c>
      <c r="H54" s="20" t="n">
        <v>1.75033556</v>
      </c>
      <c r="I54" s="18" t="s">
        <v>349</v>
      </c>
      <c r="J54" s="20" t="s">
        <v>349</v>
      </c>
      <c r="K54" s="18" t="n">
        <v>4.58097291</v>
      </c>
      <c r="L54" s="20" t="n">
        <v>1.17941435</v>
      </c>
      <c r="M54" s="18" t="n">
        <v>0</v>
      </c>
      <c r="N54" s="20" t="n">
        <v>0</v>
      </c>
      <c r="O54" s="18" t="n">
        <v>0</v>
      </c>
      <c r="P54" s="20" t="n">
        <v>0</v>
      </c>
      <c r="Q54" s="18" t="n">
        <v>5.32201394</v>
      </c>
      <c r="R54" s="20" t="n">
        <v>1.24785258</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41.9883969</v>
      </c>
      <c r="F56" s="20" t="n">
        <v>3.01371826</v>
      </c>
      <c r="G56" s="18" t="n">
        <v>58.0116031</v>
      </c>
      <c r="H56" s="20" t="n">
        <v>3.01371826</v>
      </c>
      <c r="I56" s="18" t="s">
        <v>349</v>
      </c>
      <c r="J56" s="20" t="s">
        <v>349</v>
      </c>
      <c r="K56" s="18" t="n">
        <v>0</v>
      </c>
      <c r="L56" s="20" t="n">
        <v>0</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(2788.0/B61*100)</f>
        <v/>
      </c>
      <c r="D61" s="19" t="n">
        <v>413</v>
      </c>
      <c r="E61" s="18" t="n">
        <v>54.16961496</v>
      </c>
      <c r="F61" s="20" t="n">
        <v>2.74921241</v>
      </c>
      <c r="G61" s="18" t="n">
        <v>44.81223551</v>
      </c>
      <c r="H61" s="20" t="n">
        <v>2.83622796</v>
      </c>
      <c r="I61" s="18" t="s">
        <v>349</v>
      </c>
      <c r="J61" s="20" t="s">
        <v>349</v>
      </c>
      <c r="K61" s="18" t="n">
        <v>0.71132668</v>
      </c>
      <c r="L61" s="20" t="n">
        <v>0.69325961</v>
      </c>
      <c r="M61" s="18" t="n">
        <v>0</v>
      </c>
      <c r="N61" s="20" t="n">
        <v>0</v>
      </c>
      <c r="O61" s="18" t="n">
        <v>0</v>
      </c>
      <c r="P61" s="20" t="n">
        <v>0</v>
      </c>
      <c r="Q61" s="18" t="n">
        <v>0.30682285</v>
      </c>
      <c r="R61" s="20" t="n">
        <v>0.42139681</v>
      </c>
    </row>
    <row r="62" spans="1:18">
      <c r="A62" s="15" t="s">
        <v>404</v>
      </c>
      <c r="B62" s="17" t="n">
        <v>2230</v>
      </c>
      <c r="C62" s="18">
        <f>(1959.0/B62*100)</f>
        <v/>
      </c>
      <c r="D62" s="19" t="n">
        <v>271</v>
      </c>
      <c r="E62" s="18" t="n">
        <v>38.72668553</v>
      </c>
      <c r="F62" s="20" t="n">
        <v>3.13700508</v>
      </c>
      <c r="G62" s="18" t="n">
        <v>61.27331447</v>
      </c>
      <c r="H62" s="20" t="n">
        <v>3.13700508</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(2436.0/B66*100)</f>
        <v/>
      </c>
      <c r="D66" s="19" t="n">
        <v>335</v>
      </c>
      <c r="E66" s="18" t="n">
        <v>70.21165284</v>
      </c>
      <c r="F66" s="20" t="n">
        <v>2.3190399</v>
      </c>
      <c r="G66" s="18" t="n">
        <v>26.19190517</v>
      </c>
      <c r="H66" s="20" t="n">
        <v>2.29582286</v>
      </c>
      <c r="I66" s="18" t="s">
        <v>349</v>
      </c>
      <c r="J66" s="20" t="s">
        <v>349</v>
      </c>
      <c r="K66" s="18" t="n">
        <v>0.26106646</v>
      </c>
      <c r="L66" s="20" t="n">
        <v>0.26084755</v>
      </c>
      <c r="M66" s="18" t="n">
        <v>0</v>
      </c>
      <c r="N66" s="20" t="n">
        <v>0</v>
      </c>
      <c r="O66" s="18" t="n">
        <v>0</v>
      </c>
      <c r="P66" s="20" t="n">
        <v>0</v>
      </c>
      <c r="Q66" s="18" t="n">
        <v>3.33537553</v>
      </c>
      <c r="R66" s="20" t="n">
        <v>0.9565589799999999</v>
      </c>
    </row>
    <row r="67" spans="1:18">
      <c r="A67" s="15" t="s">
        <v>409</v>
      </c>
      <c r="B67" s="17" t="n">
        <v>3460</v>
      </c>
      <c r="C67" s="18">
        <f>(3048.0/B67*100)</f>
        <v/>
      </c>
      <c r="D67" s="19" t="n">
        <v>412</v>
      </c>
      <c r="E67" s="18" t="n">
        <v>72.82371943</v>
      </c>
      <c r="F67" s="20" t="n">
        <v>2.16762153</v>
      </c>
      <c r="G67" s="18" t="n">
        <v>22.19062047</v>
      </c>
      <c r="H67" s="20" t="n">
        <v>1.97500382</v>
      </c>
      <c r="I67" s="18" t="s">
        <v>349</v>
      </c>
      <c r="J67" s="20" t="s">
        <v>349</v>
      </c>
      <c r="K67" s="18" t="n">
        <v>0.31432877</v>
      </c>
      <c r="L67" s="20" t="n">
        <v>0.31538572</v>
      </c>
      <c r="M67" s="18" t="n">
        <v>0</v>
      </c>
      <c r="N67" s="20" t="n">
        <v>0</v>
      </c>
      <c r="O67" s="18" t="n">
        <v>0</v>
      </c>
      <c r="P67" s="20" t="n">
        <v>0</v>
      </c>
      <c r="Q67" s="18" t="n">
        <v>4.67133133</v>
      </c>
      <c r="R67" s="20" t="n">
        <v>1.24239925</v>
      </c>
    </row>
    <row r="68" spans="1:18">
      <c r="A68" s="15" t="s">
        <v>410</v>
      </c>
      <c r="B68" s="17" t="n">
        <v>6034</v>
      </c>
      <c r="C68" s="18">
        <f>(5038.0/B68*100)</f>
        <v/>
      </c>
      <c r="D68" s="19" t="n">
        <v>996</v>
      </c>
      <c r="E68" s="18" t="n">
        <v>69.30541897000001</v>
      </c>
      <c r="F68" s="20" t="n">
        <v>1.46351014</v>
      </c>
      <c r="G68" s="18" t="n">
        <v>28.39972357</v>
      </c>
      <c r="H68" s="20" t="n">
        <v>1.42088443</v>
      </c>
      <c r="I68" s="18" t="s">
        <v>349</v>
      </c>
      <c r="J68" s="20" t="s">
        <v>349</v>
      </c>
      <c r="K68" s="18" t="n">
        <v>0.58393756</v>
      </c>
      <c r="L68" s="20" t="n">
        <v>0.23862848</v>
      </c>
      <c r="M68" s="18" t="n">
        <v>0</v>
      </c>
      <c r="N68" s="20" t="n">
        <v>0</v>
      </c>
      <c r="O68" s="18" t="n">
        <v>0</v>
      </c>
      <c r="P68" s="20" t="n">
        <v>0</v>
      </c>
      <c r="Q68" s="18" t="n">
        <v>1.7109199</v>
      </c>
      <c r="R68" s="20" t="n">
        <v>0.42412087</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(2767.0/B70*100)</f>
        <v/>
      </c>
      <c r="D70" s="19" t="n">
        <v>340</v>
      </c>
      <c r="E70" s="18" t="n">
        <v>57.04689928</v>
      </c>
      <c r="F70" s="20" t="n">
        <v>2.40227413</v>
      </c>
      <c r="G70" s="18" t="n">
        <v>42.23492792</v>
      </c>
      <c r="H70" s="20" t="n">
        <v>2.4532214</v>
      </c>
      <c r="I70" s="18" t="s">
        <v>349</v>
      </c>
      <c r="J70" s="20" t="s">
        <v>349</v>
      </c>
      <c r="K70" s="18" t="n">
        <v>0.35261372</v>
      </c>
      <c r="L70" s="20" t="n">
        <v>0.25107652</v>
      </c>
      <c r="M70" s="18" t="n">
        <v>0</v>
      </c>
      <c r="N70" s="20" t="n">
        <v>0</v>
      </c>
      <c r="O70" s="18" t="n">
        <v>0</v>
      </c>
      <c r="P70" s="20" t="n">
        <v>0</v>
      </c>
      <c r="Q70" s="18" t="n">
        <v>0.36555908</v>
      </c>
      <c r="R70" s="20" t="n">
        <v>0.21905421</v>
      </c>
    </row>
    <row r="71" spans="1:18">
      <c r="A71" s="15" t="s">
        <v>413</v>
      </c>
      <c r="B71" s="17" t="n">
        <v>2973</v>
      </c>
      <c r="C71" s="18">
        <f>(2634.0/B71*100)</f>
        <v/>
      </c>
      <c r="D71" s="19" t="n">
        <v>339</v>
      </c>
      <c r="E71" s="18" t="n">
        <v>45.95544418</v>
      </c>
      <c r="F71" s="20" t="n">
        <v>2.5734502</v>
      </c>
      <c r="G71" s="18" t="n">
        <v>53.76223838</v>
      </c>
      <c r="H71" s="20" t="n">
        <v>2.60536628</v>
      </c>
      <c r="I71" s="18" t="s">
        <v>349</v>
      </c>
      <c r="J71" s="20" t="s">
        <v>349</v>
      </c>
      <c r="K71" s="18" t="n">
        <v>0</v>
      </c>
      <c r="L71" s="20" t="n">
        <v>0</v>
      </c>
      <c r="M71" s="18" t="n">
        <v>0</v>
      </c>
      <c r="N71" s="20" t="n">
        <v>0</v>
      </c>
      <c r="O71" s="18" t="n">
        <v>0</v>
      </c>
      <c r="P71" s="20" t="n">
        <v>0</v>
      </c>
      <c r="Q71" s="18" t="n">
        <v>0.28231744</v>
      </c>
      <c r="R71" s="20" t="n">
        <v>0.28547012</v>
      </c>
    </row>
    <row r="72" spans="1:18">
      <c r="A72" s="15" t="s">
        <v>414</v>
      </c>
      <c r="B72" s="17" t="n">
        <v>3819</v>
      </c>
      <c r="C72" s="18">
        <f>(3352.0/B72*100)</f>
        <v/>
      </c>
      <c r="D72" s="19" t="n">
        <v>467</v>
      </c>
      <c r="E72" s="18" t="n">
        <v>42.40472746</v>
      </c>
      <c r="F72" s="20" t="n">
        <v>2.66915251</v>
      </c>
      <c r="G72" s="18" t="n">
        <v>57.38307472</v>
      </c>
      <c r="H72" s="20" t="n">
        <v>2.692531</v>
      </c>
      <c r="I72" s="18" t="s">
        <v>349</v>
      </c>
      <c r="J72" s="20" t="s">
        <v>349</v>
      </c>
      <c r="K72" s="18" t="n">
        <v>0</v>
      </c>
      <c r="L72" s="20" t="n">
        <v>0</v>
      </c>
      <c r="M72" s="18" t="n">
        <v>0</v>
      </c>
      <c r="N72" s="20" t="n">
        <v>0</v>
      </c>
      <c r="O72" s="18" t="n">
        <v>0</v>
      </c>
      <c r="P72" s="20" t="n">
        <v>0</v>
      </c>
      <c r="Q72" s="18" t="n">
        <v>0.21219782</v>
      </c>
      <c r="R72" s="20" t="n">
        <v>0.21216326</v>
      </c>
    </row>
    <row r="73" spans="1:18">
      <c r="A73" s="15" t="s">
        <v>415</v>
      </c>
      <c r="B73" s="17" t="n">
        <v>4652</v>
      </c>
      <c r="C73" s="18">
        <f>(4066.0/B73*100)</f>
        <v/>
      </c>
      <c r="D73" s="19" t="n">
        <v>586</v>
      </c>
      <c r="E73" s="18" t="n">
        <v>60.20059519</v>
      </c>
      <c r="F73" s="20" t="n">
        <v>2.20397938</v>
      </c>
      <c r="G73" s="18" t="n">
        <v>38.98183742</v>
      </c>
      <c r="H73" s="20" t="n">
        <v>2.21783087</v>
      </c>
      <c r="I73" s="18" t="s">
        <v>349</v>
      </c>
      <c r="J73" s="20" t="s">
        <v>349</v>
      </c>
      <c r="K73" s="18" t="n">
        <v>0</v>
      </c>
      <c r="L73" s="20" t="n">
        <v>0</v>
      </c>
      <c r="M73" s="18" t="n">
        <v>0</v>
      </c>
      <c r="N73" s="20" t="n">
        <v>0</v>
      </c>
      <c r="O73" s="18" t="n">
        <v>0</v>
      </c>
      <c r="P73" s="20" t="n">
        <v>0</v>
      </c>
      <c r="Q73" s="18" t="n">
        <v>0.81756739</v>
      </c>
      <c r="R73" s="20" t="n">
        <v>0.43200243</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(2608.0/B75*100)</f>
        <v/>
      </c>
      <c r="D75" s="19" t="n">
        <v>361</v>
      </c>
      <c r="E75" s="18" t="n">
        <v>65.8047677</v>
      </c>
      <c r="F75" s="20" t="n">
        <v>2.55014185</v>
      </c>
      <c r="G75" s="18" t="n">
        <v>29.84540478</v>
      </c>
      <c r="H75" s="20" t="n">
        <v>2.45773692</v>
      </c>
      <c r="I75" s="18" t="s">
        <v>349</v>
      </c>
      <c r="J75" s="20" t="s">
        <v>349</v>
      </c>
      <c r="K75" s="18" t="n">
        <v>0.81132731</v>
      </c>
      <c r="L75" s="20" t="n">
        <v>0.47181508</v>
      </c>
      <c r="M75" s="18" t="n">
        <v>0</v>
      </c>
      <c r="N75" s="20" t="n">
        <v>0</v>
      </c>
      <c r="O75" s="18" t="n">
        <v>0</v>
      </c>
      <c r="P75" s="20" t="n">
        <v>0</v>
      </c>
      <c r="Q75" s="18" t="n">
        <v>3.5385002</v>
      </c>
      <c r="R75" s="20" t="n">
        <v>1.05066328</v>
      </c>
    </row>
    <row r="76" spans="1:18">
      <c r="A76" s="15" t="s">
        <v>418</v>
      </c>
      <c r="B76" s="17" t="n">
        <v>7115</v>
      </c>
      <c r="C76" s="18">
        <f>(6279.0/B76*100)</f>
        <v/>
      </c>
      <c r="D76" s="19" t="n">
        <v>836</v>
      </c>
      <c r="E76" s="18" t="n">
        <v>60.87912359</v>
      </c>
      <c r="F76" s="20" t="n">
        <v>2.41890875</v>
      </c>
      <c r="G76" s="18" t="n">
        <v>37.57336498</v>
      </c>
      <c r="H76" s="20" t="n">
        <v>2.47514001</v>
      </c>
      <c r="I76" s="18" t="s">
        <v>349</v>
      </c>
      <c r="J76" s="20" t="s">
        <v>349</v>
      </c>
      <c r="K76" s="18" t="n">
        <v>0.18030863</v>
      </c>
      <c r="L76" s="20" t="n">
        <v>0.17885346</v>
      </c>
      <c r="M76" s="18" t="n">
        <v>0</v>
      </c>
      <c r="N76" s="20" t="n">
        <v>0</v>
      </c>
      <c r="O76" s="18" t="n">
        <v>0</v>
      </c>
      <c r="P76" s="20" t="n">
        <v>0</v>
      </c>
      <c r="Q76" s="18" t="n">
        <v>1.3672028</v>
      </c>
      <c r="R76" s="20" t="n">
        <v>0.47156602</v>
      </c>
    </row>
    <row r="77" spans="1:18">
      <c r="A77" s="15" t="s">
        <v>419</v>
      </c>
      <c r="B77" s="17" t="n">
        <v>3154</v>
      </c>
      <c r="C77" s="18">
        <f>(2770.0/B77*100)</f>
        <v/>
      </c>
      <c r="D77" s="19" t="n">
        <v>384</v>
      </c>
      <c r="E77" s="18" t="n">
        <v>68.75792672999999</v>
      </c>
      <c r="F77" s="20" t="n">
        <v>2.24738862</v>
      </c>
      <c r="G77" s="18" t="n">
        <v>28.50517022</v>
      </c>
      <c r="H77" s="20" t="n">
        <v>2.24959409</v>
      </c>
      <c r="I77" s="18" t="s">
        <v>349</v>
      </c>
      <c r="J77" s="20" t="s">
        <v>349</v>
      </c>
      <c r="K77" s="18" t="n">
        <v>0.6219829100000001</v>
      </c>
      <c r="L77" s="20" t="n">
        <v>0.47863716</v>
      </c>
      <c r="M77" s="18" t="n">
        <v>0</v>
      </c>
      <c r="N77" s="20" t="n">
        <v>0</v>
      </c>
      <c r="O77" s="18" t="n">
        <v>0</v>
      </c>
      <c r="P77" s="20" t="n">
        <v>0</v>
      </c>
      <c r="Q77" s="18" t="n">
        <v>2.11492014</v>
      </c>
      <c r="R77" s="20" t="n">
        <v>0.89684274</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(4125.0/B81*100)</f>
        <v/>
      </c>
      <c r="D81" s="19" t="n">
        <v>573</v>
      </c>
      <c r="E81" s="18" t="n">
        <v>56.8847453</v>
      </c>
      <c r="F81" s="20" t="n">
        <v>2.30055667</v>
      </c>
      <c r="G81" s="18" t="n">
        <v>42.83484456</v>
      </c>
      <c r="H81" s="20" t="n">
        <v>2.31612416</v>
      </c>
      <c r="I81" s="18" t="s">
        <v>349</v>
      </c>
      <c r="J81" s="20" t="s">
        <v>349</v>
      </c>
      <c r="K81" s="18" t="n">
        <v>0</v>
      </c>
      <c r="L81" s="20" t="n">
        <v>0</v>
      </c>
      <c r="M81" s="18" t="n">
        <v>0</v>
      </c>
      <c r="N81" s="20" t="n">
        <v>0</v>
      </c>
      <c r="O81" s="18" t="n">
        <v>0</v>
      </c>
      <c r="P81" s="20" t="n">
        <v>0</v>
      </c>
      <c r="Q81" s="18" t="n">
        <v>0.28041015</v>
      </c>
      <c r="R81" s="20" t="n">
        <v>0.27762459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(6302.0/B7*100)</f>
        <v/>
      </c>
      <c r="D7" s="19" t="n">
        <v>861</v>
      </c>
      <c r="E7" s="18" t="n">
        <v>52.29019371</v>
      </c>
      <c r="F7" s="20" t="n">
        <v>1.79389104</v>
      </c>
      <c r="G7" s="18" t="n">
        <v>46.90438045</v>
      </c>
      <c r="H7" s="20" t="n">
        <v>1.83586706</v>
      </c>
      <c r="I7" s="18" t="s">
        <v>349</v>
      </c>
      <c r="J7" s="20" t="s">
        <v>349</v>
      </c>
      <c r="K7" s="18" t="n">
        <v>0.52529771</v>
      </c>
      <c r="L7" s="20" t="n">
        <v>0.28675944</v>
      </c>
      <c r="M7" s="18" t="n">
        <v>0</v>
      </c>
      <c r="N7" s="20" t="n">
        <v>0</v>
      </c>
      <c r="O7" s="18" t="n">
        <v>0</v>
      </c>
      <c r="P7" s="20" t="n">
        <v>0</v>
      </c>
      <c r="Q7" s="18" t="n">
        <v>0.28012813</v>
      </c>
      <c r="R7" s="20" t="n">
        <v>0.22850942</v>
      </c>
    </row>
    <row r="8" spans="1:18">
      <c r="A8" s="15" t="s">
        <v>350</v>
      </c>
      <c r="B8" s="17" t="n">
        <v>3443</v>
      </c>
      <c r="C8" s="18">
        <f>(3031.0/B8*100)</f>
        <v/>
      </c>
      <c r="D8" s="19" t="n">
        <v>412</v>
      </c>
      <c r="E8" s="18" t="n">
        <v>66.37985355000001</v>
      </c>
      <c r="F8" s="20" t="n">
        <v>2.31640238</v>
      </c>
      <c r="G8" s="18" t="n">
        <v>32.99984351</v>
      </c>
      <c r="H8" s="20" t="n">
        <v>2.30635911</v>
      </c>
      <c r="I8" s="18" t="s">
        <v>349</v>
      </c>
      <c r="J8" s="20" t="s">
        <v>349</v>
      </c>
      <c r="K8" s="18" t="n">
        <v>0</v>
      </c>
      <c r="L8" s="20" t="n">
        <v>0</v>
      </c>
      <c r="M8" s="18" t="n">
        <v>0</v>
      </c>
      <c r="N8" s="20" t="n">
        <v>0</v>
      </c>
      <c r="O8" s="18" t="n">
        <v>0</v>
      </c>
      <c r="P8" s="20" t="n">
        <v>0</v>
      </c>
      <c r="Q8" s="18" t="n">
        <v>0.62030294</v>
      </c>
      <c r="R8" s="20" t="n">
        <v>0.46244619</v>
      </c>
    </row>
    <row r="9" spans="1:18">
      <c r="A9" s="15" t="s">
        <v>351</v>
      </c>
      <c r="B9" s="17" t="n">
        <v>4752</v>
      </c>
      <c r="C9" s="18">
        <f>(4174.0/B9*100)</f>
        <v/>
      </c>
      <c r="D9" s="19" t="n">
        <v>578</v>
      </c>
      <c r="E9" s="18" t="n">
        <v>62.86931447</v>
      </c>
      <c r="F9" s="20" t="n">
        <v>1.62423181</v>
      </c>
      <c r="G9" s="18" t="n">
        <v>36.8622246</v>
      </c>
      <c r="H9" s="20" t="n">
        <v>1.67226098</v>
      </c>
      <c r="I9" s="18" t="s">
        <v>349</v>
      </c>
      <c r="J9" s="20" t="s">
        <v>349</v>
      </c>
      <c r="K9" s="18" t="n">
        <v>0</v>
      </c>
      <c r="L9" s="20" t="n">
        <v>0</v>
      </c>
      <c r="M9" s="18" t="n">
        <v>0</v>
      </c>
      <c r="N9" s="20" t="n">
        <v>0</v>
      </c>
      <c r="O9" s="18" t="n">
        <v>0</v>
      </c>
      <c r="P9" s="20" t="n">
        <v>0</v>
      </c>
      <c r="Q9" s="18" t="n">
        <v>0.26846093</v>
      </c>
      <c r="R9" s="20" t="n">
        <v>0.25011352</v>
      </c>
    </row>
    <row r="10" spans="1:18">
      <c r="A10" s="15" t="s">
        <v>352</v>
      </c>
      <c r="B10" s="17" t="n">
        <v>10022</v>
      </c>
      <c r="C10" s="18">
        <f>(8778.0/B10*100)</f>
        <v/>
      </c>
      <c r="D10" s="19" t="n">
        <v>1244</v>
      </c>
      <c r="E10" s="18" t="n">
        <v>57.95137519</v>
      </c>
      <c r="F10" s="20" t="n">
        <v>1.88671921</v>
      </c>
      <c r="G10" s="18" t="n">
        <v>41.68186659</v>
      </c>
      <c r="H10" s="20" t="n">
        <v>1.89838316</v>
      </c>
      <c r="I10" s="18" t="s">
        <v>349</v>
      </c>
      <c r="J10" s="20" t="s">
        <v>349</v>
      </c>
      <c r="K10" s="18" t="n">
        <v>0.08499772999999999</v>
      </c>
      <c r="L10" s="20" t="n">
        <v>0.05267872</v>
      </c>
      <c r="M10" s="18" t="n">
        <v>0</v>
      </c>
      <c r="N10" s="20" t="n">
        <v>0</v>
      </c>
      <c r="O10" s="18" t="n">
        <v>0</v>
      </c>
      <c r="P10" s="20" t="n">
        <v>0</v>
      </c>
      <c r="Q10" s="18" t="n">
        <v>0.28176049</v>
      </c>
      <c r="R10" s="20" t="n">
        <v>0.26250809</v>
      </c>
    </row>
    <row r="11" spans="1:18">
      <c r="A11" s="15" t="s">
        <v>353</v>
      </c>
      <c r="B11" s="17" t="n">
        <v>3500</v>
      </c>
      <c r="C11" s="18">
        <f>(3077.0/B11*100)</f>
        <v/>
      </c>
      <c r="D11" s="19" t="n">
        <v>423</v>
      </c>
      <c r="E11" s="18" t="n">
        <v>77.30487904</v>
      </c>
      <c r="F11" s="20" t="n">
        <v>2.16326361</v>
      </c>
      <c r="G11" s="18" t="n">
        <v>21.56491058</v>
      </c>
      <c r="H11" s="20" t="n">
        <v>2.11956984</v>
      </c>
      <c r="I11" s="18" t="s">
        <v>349</v>
      </c>
      <c r="J11" s="20" t="s">
        <v>349</v>
      </c>
      <c r="K11" s="18" t="n">
        <v>0.30457078</v>
      </c>
      <c r="L11" s="20" t="n">
        <v>0.30003505</v>
      </c>
      <c r="M11" s="18" t="n">
        <v>0</v>
      </c>
      <c r="N11" s="20" t="n">
        <v>0</v>
      </c>
      <c r="O11" s="18" t="n">
        <v>0</v>
      </c>
      <c r="P11" s="20" t="n">
        <v>0</v>
      </c>
      <c r="Q11" s="18" t="n">
        <v>0.8256396</v>
      </c>
      <c r="R11" s="20" t="n">
        <v>0.48164584</v>
      </c>
    </row>
    <row r="12" spans="1:18">
      <c r="A12" s="15" t="s">
        <v>354</v>
      </c>
      <c r="B12" s="17" t="n">
        <v>3422</v>
      </c>
      <c r="C12" s="18">
        <f>(2976.0/B12*100)</f>
        <v/>
      </c>
      <c r="D12" s="19" t="n">
        <v>446</v>
      </c>
      <c r="E12" s="18" t="n">
        <v>73.35657859</v>
      </c>
      <c r="F12" s="20" t="n">
        <v>2.3435465</v>
      </c>
      <c r="G12" s="18" t="n">
        <v>26.64342141</v>
      </c>
      <c r="H12" s="20" t="n">
        <v>2.3435465</v>
      </c>
      <c r="I12" s="18" t="s">
        <v>349</v>
      </c>
      <c r="J12" s="20" t="s">
        <v>349</v>
      </c>
      <c r="K12" s="18" t="n">
        <v>0</v>
      </c>
      <c r="L12" s="20" t="n">
        <v>0</v>
      </c>
      <c r="M12" s="18" t="n">
        <v>0</v>
      </c>
      <c r="N12" s="20" t="n">
        <v>0</v>
      </c>
      <c r="O12" s="18" t="n">
        <v>0</v>
      </c>
      <c r="P12" s="20" t="n">
        <v>0</v>
      </c>
      <c r="Q12" s="18" t="n">
        <v>0</v>
      </c>
      <c r="R12" s="20" t="n">
        <v>0</v>
      </c>
    </row>
    <row r="13" spans="1:18">
      <c r="A13" s="15" t="s">
        <v>355</v>
      </c>
      <c r="B13" s="17" t="n">
        <v>3602</v>
      </c>
      <c r="C13" s="18">
        <f>(3155.0/B13*100)</f>
        <v/>
      </c>
      <c r="D13" s="19" t="n">
        <v>447</v>
      </c>
      <c r="E13" s="18" t="n">
        <v>55.84404507</v>
      </c>
      <c r="F13" s="20" t="n">
        <v>2.79107392</v>
      </c>
      <c r="G13" s="18" t="n">
        <v>43.11309223</v>
      </c>
      <c r="H13" s="20" t="n">
        <v>2.72568478</v>
      </c>
      <c r="I13" s="18" t="s">
        <v>349</v>
      </c>
      <c r="J13" s="20" t="s">
        <v>349</v>
      </c>
      <c r="K13" s="18" t="n">
        <v>0.87341594</v>
      </c>
      <c r="L13" s="20" t="n">
        <v>0.56117192</v>
      </c>
      <c r="M13" s="18" t="n">
        <v>0</v>
      </c>
      <c r="N13" s="20" t="n">
        <v>0</v>
      </c>
      <c r="O13" s="18" t="n">
        <v>0</v>
      </c>
      <c r="P13" s="20" t="n">
        <v>0</v>
      </c>
      <c r="Q13" s="18" t="n">
        <v>0.16944675</v>
      </c>
      <c r="R13" s="20" t="n">
        <v>0.13079668</v>
      </c>
    </row>
    <row r="14" spans="1:18">
      <c r="A14" s="15" t="s">
        <v>356</v>
      </c>
      <c r="B14" s="17" t="n">
        <v>2788</v>
      </c>
      <c r="C14" s="18">
        <f>(2424.0/B14*100)</f>
        <v/>
      </c>
      <c r="D14" s="19" t="n">
        <v>364</v>
      </c>
      <c r="E14" s="18" t="n">
        <v>78.97860308999999</v>
      </c>
      <c r="F14" s="20" t="n">
        <v>2.23716397</v>
      </c>
      <c r="G14" s="18" t="n">
        <v>21.02139691</v>
      </c>
      <c r="H14" s="20" t="n">
        <v>2.23716397</v>
      </c>
      <c r="I14" s="18" t="s">
        <v>349</v>
      </c>
      <c r="J14" s="20" t="s">
        <v>349</v>
      </c>
      <c r="K14" s="18" t="n">
        <v>0</v>
      </c>
      <c r="L14" s="20" t="n">
        <v>0</v>
      </c>
      <c r="M14" s="18" t="n">
        <v>0</v>
      </c>
      <c r="N14" s="20" t="n">
        <v>0</v>
      </c>
      <c r="O14" s="18" t="n">
        <v>0</v>
      </c>
      <c r="P14" s="20" t="n">
        <v>0</v>
      </c>
      <c r="Q14" s="18" t="n">
        <v>0</v>
      </c>
      <c r="R14" s="20" t="n">
        <v>0</v>
      </c>
    </row>
    <row r="15" spans="1:18">
      <c r="A15" s="15" t="s">
        <v>357</v>
      </c>
      <c r="B15" s="17" t="n">
        <v>2863</v>
      </c>
      <c r="C15" s="18">
        <f>(2513.0/B15*100)</f>
        <v/>
      </c>
      <c r="D15" s="19" t="n">
        <v>350</v>
      </c>
      <c r="E15" s="18" t="n">
        <v>51.93098806</v>
      </c>
      <c r="F15" s="20" t="n">
        <v>3.03737421</v>
      </c>
      <c r="G15" s="18" t="n">
        <v>48.06901194</v>
      </c>
      <c r="H15" s="20" t="n">
        <v>3.03737421</v>
      </c>
      <c r="I15" s="18" t="s">
        <v>349</v>
      </c>
      <c r="J15" s="20" t="s">
        <v>349</v>
      </c>
      <c r="K15" s="18" t="n">
        <v>0</v>
      </c>
      <c r="L15" s="20" t="n">
        <v>0</v>
      </c>
      <c r="M15" s="18" t="n">
        <v>0</v>
      </c>
      <c r="N15" s="20" t="n">
        <v>0</v>
      </c>
      <c r="O15" s="18" t="n">
        <v>0</v>
      </c>
      <c r="P15" s="20" t="n">
        <v>0</v>
      </c>
      <c r="Q15" s="18" t="n">
        <v>0</v>
      </c>
      <c r="R15" s="20" t="n">
        <v>0</v>
      </c>
    </row>
    <row r="16" spans="1:18">
      <c r="A16" s="15" t="s">
        <v>358</v>
      </c>
      <c r="B16" s="17" t="n">
        <v>3111</v>
      </c>
      <c r="C16" s="18">
        <f>(2742.0/B16*100)</f>
        <v/>
      </c>
      <c r="D16" s="19" t="n">
        <v>369</v>
      </c>
      <c r="E16" s="18" t="n">
        <v>53.29483095</v>
      </c>
      <c r="F16" s="20" t="n">
        <v>2.83912741</v>
      </c>
      <c r="G16" s="18" t="n">
        <v>45.75236599</v>
      </c>
      <c r="H16" s="20" t="n">
        <v>2.66391643</v>
      </c>
      <c r="I16" s="18" t="s">
        <v>349</v>
      </c>
      <c r="J16" s="20" t="s">
        <v>349</v>
      </c>
      <c r="K16" s="18" t="n">
        <v>0.29446979</v>
      </c>
      <c r="L16" s="20" t="n">
        <v>0.22078247</v>
      </c>
      <c r="M16" s="18" t="n">
        <v>0</v>
      </c>
      <c r="N16" s="20" t="n">
        <v>0</v>
      </c>
      <c r="O16" s="18" t="n">
        <v>0</v>
      </c>
      <c r="P16" s="20" t="n">
        <v>0</v>
      </c>
      <c r="Q16" s="18" t="n">
        <v>0.65833327</v>
      </c>
      <c r="R16" s="20" t="n">
        <v>0.72561708</v>
      </c>
    </row>
    <row r="17" spans="1:18">
      <c r="A17" s="15" t="s">
        <v>359</v>
      </c>
      <c r="B17" s="17" t="n">
        <v>3197</v>
      </c>
      <c r="C17" s="18">
        <f>(2819.0/B17*100)</f>
        <v/>
      </c>
      <c r="D17" s="19" t="n">
        <v>378</v>
      </c>
      <c r="E17" s="18" t="n">
        <v>54.37621814</v>
      </c>
      <c r="F17" s="20" t="n">
        <v>2.61828928</v>
      </c>
      <c r="G17" s="18" t="n">
        <v>44.93609036</v>
      </c>
      <c r="H17" s="20" t="n">
        <v>2.58795803</v>
      </c>
      <c r="I17" s="18" t="s">
        <v>349</v>
      </c>
      <c r="J17" s="20" t="s">
        <v>349</v>
      </c>
      <c r="K17" s="18" t="n">
        <v>0</v>
      </c>
      <c r="L17" s="20" t="n">
        <v>0</v>
      </c>
      <c r="M17" s="18" t="n">
        <v>0</v>
      </c>
      <c r="N17" s="20" t="n">
        <v>0</v>
      </c>
      <c r="O17" s="18" t="n">
        <v>0</v>
      </c>
      <c r="P17" s="20" t="n">
        <v>0</v>
      </c>
      <c r="Q17" s="18" t="n">
        <v>0.6876915</v>
      </c>
      <c r="R17" s="20" t="n">
        <v>0.53184842</v>
      </c>
    </row>
    <row r="18" spans="1:18">
      <c r="A18" s="15" t="s">
        <v>360</v>
      </c>
      <c r="B18" s="17" t="n">
        <v>2706</v>
      </c>
      <c r="C18" s="18">
        <f>(2364.0/B18*100)</f>
        <v/>
      </c>
      <c r="D18" s="19" t="n">
        <v>342</v>
      </c>
      <c r="E18" s="18" t="n">
        <v>60.58737388</v>
      </c>
      <c r="F18" s="20" t="n">
        <v>2.81090852</v>
      </c>
      <c r="G18" s="18" t="n">
        <v>37.69682557</v>
      </c>
      <c r="H18" s="20" t="n">
        <v>2.57705667</v>
      </c>
      <c r="I18" s="18" t="s">
        <v>349</v>
      </c>
      <c r="J18" s="20" t="s">
        <v>349</v>
      </c>
      <c r="K18" s="18" t="n">
        <v>0</v>
      </c>
      <c r="L18" s="20" t="n">
        <v>0</v>
      </c>
      <c r="M18" s="18" t="n">
        <v>0</v>
      </c>
      <c r="N18" s="20" t="n">
        <v>0</v>
      </c>
      <c r="O18" s="18" t="n">
        <v>0</v>
      </c>
      <c r="P18" s="20" t="n">
        <v>0</v>
      </c>
      <c r="Q18" s="18" t="n">
        <v>1.71580055</v>
      </c>
      <c r="R18" s="20" t="n">
        <v>0.8502794</v>
      </c>
    </row>
    <row r="19" spans="1:18">
      <c r="A19" s="15" t="s">
        <v>361</v>
      </c>
      <c r="B19" s="17" t="n">
        <v>2850</v>
      </c>
      <c r="C19" s="18">
        <f>(2491.0/B19*100)</f>
        <v/>
      </c>
      <c r="D19" s="19" t="n">
        <v>359</v>
      </c>
      <c r="E19" s="18" t="n">
        <v>74.04739673</v>
      </c>
      <c r="F19" s="20" t="n">
        <v>2.08076458</v>
      </c>
      <c r="G19" s="18" t="n">
        <v>25.65933662</v>
      </c>
      <c r="H19" s="20" t="n">
        <v>2.07205256</v>
      </c>
      <c r="I19" s="18" t="s">
        <v>349</v>
      </c>
      <c r="J19" s="20" t="s">
        <v>349</v>
      </c>
      <c r="K19" s="18" t="n">
        <v>0.29326665</v>
      </c>
      <c r="L19" s="20" t="n">
        <v>0.29269394</v>
      </c>
      <c r="M19" s="18" t="n">
        <v>0</v>
      </c>
      <c r="N19" s="20" t="n">
        <v>0</v>
      </c>
      <c r="O19" s="18" t="n">
        <v>0</v>
      </c>
      <c r="P19" s="20" t="n">
        <v>0</v>
      </c>
      <c r="Q19" s="18" t="n">
        <v>0</v>
      </c>
      <c r="R19" s="20" t="n">
        <v>0</v>
      </c>
    </row>
    <row r="20" spans="1:18">
      <c r="A20" s="15" t="s">
        <v>362</v>
      </c>
      <c r="B20" s="17" t="n">
        <v>1741</v>
      </c>
      <c r="C20" s="18">
        <f>(1534.0/B20*100)</f>
        <v/>
      </c>
      <c r="D20" s="19" t="n">
        <v>207</v>
      </c>
      <c r="E20" s="18" t="n">
        <v>56.21005535</v>
      </c>
      <c r="F20" s="20" t="n">
        <v>3.61573132</v>
      </c>
      <c r="G20" s="18" t="n">
        <v>41.94570969</v>
      </c>
      <c r="H20" s="20" t="n">
        <v>3.53445604</v>
      </c>
      <c r="I20" s="18" t="s">
        <v>349</v>
      </c>
      <c r="J20" s="20" t="s">
        <v>349</v>
      </c>
      <c r="K20" s="18" t="n">
        <v>0.93514487</v>
      </c>
      <c r="L20" s="20" t="n">
        <v>0.66657802</v>
      </c>
      <c r="M20" s="18" t="n">
        <v>0</v>
      </c>
      <c r="N20" s="20" t="n">
        <v>0</v>
      </c>
      <c r="O20" s="18" t="n">
        <v>0</v>
      </c>
      <c r="P20" s="20" t="n">
        <v>0</v>
      </c>
      <c r="Q20" s="18" t="n">
        <v>0.90909009</v>
      </c>
      <c r="R20" s="20" t="n">
        <v>0.64014358</v>
      </c>
    </row>
    <row r="21" spans="1:18">
      <c r="A21" s="15" t="s">
        <v>363</v>
      </c>
      <c r="B21" s="17" t="n">
        <v>2833</v>
      </c>
      <c r="C21" s="18">
        <f>(2359.0/B21*100)</f>
        <v/>
      </c>
      <c r="D21" s="19" t="n">
        <v>474</v>
      </c>
      <c r="E21" s="18" t="n">
        <v>52.98788485</v>
      </c>
      <c r="F21" s="20" t="n">
        <v>2.89473698</v>
      </c>
      <c r="G21" s="18" t="n">
        <v>46.49330456</v>
      </c>
      <c r="H21" s="20" t="n">
        <v>2.96929338</v>
      </c>
      <c r="I21" s="18" t="s">
        <v>349</v>
      </c>
      <c r="J21" s="20" t="s">
        <v>349</v>
      </c>
      <c r="K21" s="18" t="n">
        <v>0</v>
      </c>
      <c r="L21" s="20" t="n">
        <v>0</v>
      </c>
      <c r="M21" s="18" t="n">
        <v>0</v>
      </c>
      <c r="N21" s="20" t="n">
        <v>0</v>
      </c>
      <c r="O21" s="18" t="n">
        <v>0</v>
      </c>
      <c r="P21" s="20" t="n">
        <v>0</v>
      </c>
      <c r="Q21" s="18" t="n">
        <v>0.51881058</v>
      </c>
      <c r="R21" s="20" t="n">
        <v>0.31712772</v>
      </c>
    </row>
    <row r="22" spans="1:18">
      <c r="A22" s="15" t="s">
        <v>364</v>
      </c>
      <c r="B22" s="17" t="n">
        <v>3667</v>
      </c>
      <c r="C22" s="18">
        <f>(3199.0/B22*100)</f>
        <v/>
      </c>
      <c r="D22" s="19" t="n">
        <v>468</v>
      </c>
      <c r="E22" s="18" t="n">
        <v>66.32720651</v>
      </c>
      <c r="F22" s="20" t="n">
        <v>2.19745937</v>
      </c>
      <c r="G22" s="18" t="n">
        <v>32.45386673</v>
      </c>
      <c r="H22" s="20" t="n">
        <v>2.23082806</v>
      </c>
      <c r="I22" s="18" t="s">
        <v>349</v>
      </c>
      <c r="J22" s="20" t="s">
        <v>349</v>
      </c>
      <c r="K22" s="18" t="n">
        <v>0.36237399</v>
      </c>
      <c r="L22" s="20" t="n">
        <v>0.25656378</v>
      </c>
      <c r="M22" s="18" t="n">
        <v>0</v>
      </c>
      <c r="N22" s="20" t="n">
        <v>0</v>
      </c>
      <c r="O22" s="18" t="n">
        <v>0</v>
      </c>
      <c r="P22" s="20" t="n">
        <v>0</v>
      </c>
      <c r="Q22" s="18" t="n">
        <v>0.85655277</v>
      </c>
      <c r="R22" s="20" t="n">
        <v>0.66871822</v>
      </c>
    </row>
    <row r="23" spans="1:18">
      <c r="A23" s="15" t="s">
        <v>365</v>
      </c>
      <c r="B23" s="17" t="n">
        <v>5792</v>
      </c>
      <c r="C23" s="18">
        <f>(5091.0/B23*100)</f>
        <v/>
      </c>
      <c r="D23" s="19" t="n">
        <v>701</v>
      </c>
      <c r="E23" s="18" t="n">
        <v>61.34216323</v>
      </c>
      <c r="F23" s="20" t="n">
        <v>2.44485205</v>
      </c>
      <c r="G23" s="18" t="n">
        <v>38.30158168</v>
      </c>
      <c r="H23" s="20" t="n">
        <v>2.48194115</v>
      </c>
      <c r="I23" s="18" t="s">
        <v>349</v>
      </c>
      <c r="J23" s="20" t="s">
        <v>349</v>
      </c>
      <c r="K23" s="18" t="n">
        <v>0.1731267</v>
      </c>
      <c r="L23" s="20" t="n">
        <v>0.16797691</v>
      </c>
      <c r="M23" s="18" t="n">
        <v>0</v>
      </c>
      <c r="N23" s="20" t="n">
        <v>0</v>
      </c>
      <c r="O23" s="18" t="n">
        <v>0</v>
      </c>
      <c r="P23" s="20" t="n">
        <v>0</v>
      </c>
      <c r="Q23" s="18" t="n">
        <v>0.18312839</v>
      </c>
      <c r="R23" s="20" t="n">
        <v>0.14224001</v>
      </c>
    </row>
    <row r="24" spans="1:18">
      <c r="A24" s="15" t="s">
        <v>366</v>
      </c>
      <c r="B24" s="17" t="n">
        <v>3309</v>
      </c>
      <c r="C24" s="18">
        <f>(2903.0/B24*100)</f>
        <v/>
      </c>
      <c r="D24" s="19" t="n">
        <v>406</v>
      </c>
      <c r="E24" s="18" t="n">
        <v>63.79249071</v>
      </c>
      <c r="F24" s="20" t="n">
        <v>2.34802814</v>
      </c>
      <c r="G24" s="18" t="n">
        <v>35.91926606</v>
      </c>
      <c r="H24" s="20" t="n">
        <v>2.32330601</v>
      </c>
      <c r="I24" s="18" t="s">
        <v>349</v>
      </c>
      <c r="J24" s="20" t="s">
        <v>349</v>
      </c>
      <c r="K24" s="18" t="n">
        <v>0</v>
      </c>
      <c r="L24" s="20" t="n">
        <v>0</v>
      </c>
      <c r="M24" s="18" t="n">
        <v>0</v>
      </c>
      <c r="N24" s="20" t="n">
        <v>0</v>
      </c>
      <c r="O24" s="18" t="n">
        <v>0</v>
      </c>
      <c r="P24" s="20" t="n">
        <v>0</v>
      </c>
      <c r="Q24" s="18" t="n">
        <v>0.28824322</v>
      </c>
      <c r="R24" s="20" t="n">
        <v>0.28927292</v>
      </c>
    </row>
    <row r="25" spans="1:18">
      <c r="A25" s="15" t="s">
        <v>367</v>
      </c>
      <c r="B25" s="17" t="n">
        <v>2669</v>
      </c>
      <c r="C25" s="18">
        <f>(2330.0/B25*100)</f>
        <v/>
      </c>
      <c r="D25" s="19" t="n">
        <v>339</v>
      </c>
      <c r="E25" s="18" t="n">
        <v>63.73391191</v>
      </c>
      <c r="F25" s="20" t="n">
        <v>2.99766663</v>
      </c>
      <c r="G25" s="18" t="n">
        <v>34.76798692</v>
      </c>
      <c r="H25" s="20" t="n">
        <v>3.09674596</v>
      </c>
      <c r="I25" s="18" t="s">
        <v>349</v>
      </c>
      <c r="J25" s="20" t="s">
        <v>349</v>
      </c>
      <c r="K25" s="18" t="n">
        <v>0.30639674</v>
      </c>
      <c r="L25" s="20" t="n">
        <v>0.30463023</v>
      </c>
      <c r="M25" s="18" t="n">
        <v>0</v>
      </c>
      <c r="N25" s="20" t="n">
        <v>0</v>
      </c>
      <c r="O25" s="18" t="n">
        <v>0</v>
      </c>
      <c r="P25" s="20" t="n">
        <v>0</v>
      </c>
      <c r="Q25" s="18" t="n">
        <v>1.19170443</v>
      </c>
      <c r="R25" s="20" t="n">
        <v>0.68766332</v>
      </c>
    </row>
    <row r="26" spans="1:18">
      <c r="A26" s="15" t="s">
        <v>368</v>
      </c>
      <c r="B26" s="17" t="n">
        <v>2419</v>
      </c>
      <c r="C26" s="18">
        <f>(2130.0/B26*100)</f>
        <v/>
      </c>
      <c r="D26" s="19" t="n">
        <v>289</v>
      </c>
      <c r="E26" s="18" t="n">
        <v>84.73318741</v>
      </c>
      <c r="F26" s="20" t="n">
        <v>1.78044715</v>
      </c>
      <c r="G26" s="18" t="n">
        <v>15.26681259</v>
      </c>
      <c r="H26" s="20" t="n">
        <v>1.78044715</v>
      </c>
      <c r="I26" s="18" t="s">
        <v>349</v>
      </c>
      <c r="J26" s="20" t="s">
        <v>349</v>
      </c>
      <c r="K26" s="18" t="n">
        <v>0</v>
      </c>
      <c r="L26" s="20" t="n">
        <v>0</v>
      </c>
      <c r="M26" s="18" t="n">
        <v>0</v>
      </c>
      <c r="N26" s="20" t="n">
        <v>0</v>
      </c>
      <c r="O26" s="18" t="n">
        <v>0</v>
      </c>
      <c r="P26" s="20" t="n">
        <v>0</v>
      </c>
      <c r="Q26" s="18" t="n">
        <v>0</v>
      </c>
      <c r="R26" s="20" t="n">
        <v>0</v>
      </c>
    </row>
    <row r="27" spans="1:18">
      <c r="A27" s="15" t="s">
        <v>369</v>
      </c>
      <c r="B27" s="17" t="n">
        <v>2683</v>
      </c>
      <c r="C27" s="18">
        <f>(2356.0/B27*100)</f>
        <v/>
      </c>
      <c r="D27" s="19" t="n">
        <v>327</v>
      </c>
      <c r="E27" s="18" t="n">
        <v>67.89901353</v>
      </c>
      <c r="F27" s="20" t="n">
        <v>2.52620736</v>
      </c>
      <c r="G27" s="18" t="n">
        <v>31.17637736</v>
      </c>
      <c r="H27" s="20" t="n">
        <v>2.54790207</v>
      </c>
      <c r="I27" s="18" t="s">
        <v>349</v>
      </c>
      <c r="J27" s="20" t="s">
        <v>349</v>
      </c>
      <c r="K27" s="18" t="n">
        <v>0</v>
      </c>
      <c r="L27" s="20" t="n">
        <v>0</v>
      </c>
      <c r="M27" s="18" t="n">
        <v>0</v>
      </c>
      <c r="N27" s="20" t="n">
        <v>0</v>
      </c>
      <c r="O27" s="18" t="n">
        <v>0</v>
      </c>
      <c r="P27" s="20" t="n">
        <v>0</v>
      </c>
      <c r="Q27" s="18" t="n">
        <v>0.92460911</v>
      </c>
      <c r="R27" s="20" t="n">
        <v>0.53087145</v>
      </c>
    </row>
    <row r="28" spans="1:18">
      <c r="A28" s="15" t="s">
        <v>370</v>
      </c>
      <c r="B28" s="17" t="n">
        <v>3803</v>
      </c>
      <c r="C28" s="18">
        <f>(3356.0/B28*100)</f>
        <v/>
      </c>
      <c r="D28" s="19" t="n">
        <v>447</v>
      </c>
      <c r="E28" s="18" t="n">
        <v>83.95357586</v>
      </c>
      <c r="F28" s="20" t="n">
        <v>1.80896297</v>
      </c>
      <c r="G28" s="18" t="n">
        <v>15.13616448</v>
      </c>
      <c r="H28" s="20" t="n">
        <v>1.75717845</v>
      </c>
      <c r="I28" s="18" t="s">
        <v>349</v>
      </c>
      <c r="J28" s="20" t="s">
        <v>349</v>
      </c>
      <c r="K28" s="18" t="n">
        <v>0.66251228</v>
      </c>
      <c r="L28" s="20" t="n">
        <v>0.4722625</v>
      </c>
      <c r="M28" s="18" t="n">
        <v>0</v>
      </c>
      <c r="N28" s="20" t="n">
        <v>0</v>
      </c>
      <c r="O28" s="18" t="n">
        <v>0</v>
      </c>
      <c r="P28" s="20" t="n">
        <v>0</v>
      </c>
      <c r="Q28" s="18" t="n">
        <v>0.24774738</v>
      </c>
      <c r="R28" s="20" t="n">
        <v>0.24816694</v>
      </c>
    </row>
    <row r="29" spans="1:18">
      <c r="A29" s="15" t="s">
        <v>371</v>
      </c>
      <c r="B29" s="17" t="n">
        <v>2700</v>
      </c>
      <c r="C29" s="18">
        <f>(2358.0/B29*100)</f>
        <v/>
      </c>
      <c r="D29" s="19" t="n">
        <v>342</v>
      </c>
      <c r="E29" s="18" t="n">
        <v>69.98506879999999</v>
      </c>
      <c r="F29" s="20" t="n">
        <v>2.28609055</v>
      </c>
      <c r="G29" s="18" t="n">
        <v>29.63432689</v>
      </c>
      <c r="H29" s="20" t="n">
        <v>2.2739689</v>
      </c>
      <c r="I29" s="18" t="s">
        <v>349</v>
      </c>
      <c r="J29" s="20" t="s">
        <v>349</v>
      </c>
      <c r="K29" s="18" t="n">
        <v>0.38060431</v>
      </c>
      <c r="L29" s="20" t="n">
        <v>0.29319164</v>
      </c>
      <c r="M29" s="18" t="n">
        <v>0</v>
      </c>
      <c r="N29" s="20" t="n">
        <v>0</v>
      </c>
      <c r="O29" s="18" t="n">
        <v>0</v>
      </c>
      <c r="P29" s="20" t="n">
        <v>0</v>
      </c>
      <c r="Q29" s="18" t="n">
        <v>0</v>
      </c>
      <c r="R29" s="20" t="n">
        <v>0</v>
      </c>
    </row>
    <row r="30" spans="1:18">
      <c r="A30" s="15" t="s">
        <v>372</v>
      </c>
      <c r="B30" s="17" t="n">
        <v>2257</v>
      </c>
      <c r="C30" s="18">
        <f>(1972.0/B30*100)</f>
        <v/>
      </c>
      <c r="D30" s="19" t="n">
        <v>285</v>
      </c>
      <c r="E30" s="18" t="n">
        <v>49.325057</v>
      </c>
      <c r="F30" s="20" t="n">
        <v>3.1086469</v>
      </c>
      <c r="G30" s="18" t="n">
        <v>50.32162751</v>
      </c>
      <c r="H30" s="20" t="n">
        <v>3.11912878</v>
      </c>
      <c r="I30" s="18" t="s">
        <v>349</v>
      </c>
      <c r="J30" s="20" t="s">
        <v>349</v>
      </c>
      <c r="K30" s="18" t="n">
        <v>0</v>
      </c>
      <c r="L30" s="20" t="n">
        <v>0</v>
      </c>
      <c r="M30" s="18" t="n">
        <v>0</v>
      </c>
      <c r="N30" s="20" t="n">
        <v>0</v>
      </c>
      <c r="O30" s="18" t="n">
        <v>0</v>
      </c>
      <c r="P30" s="20" t="n">
        <v>0</v>
      </c>
      <c r="Q30" s="18" t="n">
        <v>0.35331549</v>
      </c>
      <c r="R30" s="20" t="n">
        <v>0.38449706</v>
      </c>
    </row>
    <row r="31" spans="1:18">
      <c r="A31" s="15" t="s">
        <v>373</v>
      </c>
      <c r="B31" s="17" t="n">
        <v>2706</v>
      </c>
      <c r="C31" s="18">
        <f>(2386.0/B31*100)</f>
        <v/>
      </c>
      <c r="D31" s="19" t="n">
        <v>320</v>
      </c>
      <c r="E31" s="18" t="n">
        <v>65.50036629</v>
      </c>
      <c r="F31" s="20" t="n">
        <v>2.95644241</v>
      </c>
      <c r="G31" s="18" t="n">
        <v>34.19253427</v>
      </c>
      <c r="H31" s="20" t="n">
        <v>2.94242252</v>
      </c>
      <c r="I31" s="18" t="s">
        <v>349</v>
      </c>
      <c r="J31" s="20" t="s">
        <v>349</v>
      </c>
      <c r="K31" s="18" t="n">
        <v>0</v>
      </c>
      <c r="L31" s="20" t="n">
        <v>0</v>
      </c>
      <c r="M31" s="18" t="n">
        <v>0</v>
      </c>
      <c r="N31" s="20" t="n">
        <v>0</v>
      </c>
      <c r="O31" s="18" t="n">
        <v>0</v>
      </c>
      <c r="P31" s="20" t="n">
        <v>0</v>
      </c>
      <c r="Q31" s="18" t="n">
        <v>0.30709944</v>
      </c>
      <c r="R31" s="20" t="n">
        <v>0.3063861</v>
      </c>
    </row>
    <row r="32" spans="1:18">
      <c r="A32" s="15" t="s">
        <v>374</v>
      </c>
      <c r="B32" s="17" t="n">
        <v>2209</v>
      </c>
      <c r="C32" s="18">
        <f>(1839.0/B32*100)</f>
        <v/>
      </c>
      <c r="D32" s="19" t="n">
        <v>370</v>
      </c>
      <c r="E32" s="18" t="n">
        <v>80.86058171000001</v>
      </c>
      <c r="F32" s="20" t="n">
        <v>2.29275601</v>
      </c>
      <c r="G32" s="18" t="n">
        <v>18.27932253</v>
      </c>
      <c r="H32" s="20" t="n">
        <v>2.19583994</v>
      </c>
      <c r="I32" s="18" t="s">
        <v>349</v>
      </c>
      <c r="J32" s="20" t="s">
        <v>349</v>
      </c>
      <c r="K32" s="18" t="n">
        <v>0.25678822</v>
      </c>
      <c r="L32" s="20" t="n">
        <v>0.26901858</v>
      </c>
      <c r="M32" s="18" t="n">
        <v>0</v>
      </c>
      <c r="N32" s="20" t="n">
        <v>0</v>
      </c>
      <c r="O32" s="18" t="n">
        <v>0</v>
      </c>
      <c r="P32" s="20" t="n">
        <v>0</v>
      </c>
      <c r="Q32" s="18" t="n">
        <v>0.60330753</v>
      </c>
      <c r="R32" s="20" t="n">
        <v>0.43082694</v>
      </c>
    </row>
    <row r="33" spans="1:18">
      <c r="A33" s="15" t="s">
        <v>375</v>
      </c>
      <c r="B33" s="17" t="n">
        <v>3651</v>
      </c>
      <c r="C33" s="18">
        <f>(3204.0/B33*100)</f>
        <v/>
      </c>
      <c r="D33" s="19" t="n">
        <v>447</v>
      </c>
      <c r="E33" s="18" t="n">
        <v>64.29580403999999</v>
      </c>
      <c r="F33" s="20" t="n">
        <v>2.40717394</v>
      </c>
      <c r="G33" s="18" t="n">
        <v>35.65028181</v>
      </c>
      <c r="H33" s="20" t="n">
        <v>2.4118949</v>
      </c>
      <c r="I33" s="18" t="s">
        <v>349</v>
      </c>
      <c r="J33" s="20" t="s">
        <v>349</v>
      </c>
      <c r="K33" s="18" t="n">
        <v>0</v>
      </c>
      <c r="L33" s="20" t="n">
        <v>0</v>
      </c>
      <c r="M33" s="18" t="n">
        <v>0</v>
      </c>
      <c r="N33" s="20" t="n">
        <v>0</v>
      </c>
      <c r="O33" s="18" t="n">
        <v>0</v>
      </c>
      <c r="P33" s="20" t="n">
        <v>0</v>
      </c>
      <c r="Q33" s="18" t="n">
        <v>0.05391414</v>
      </c>
      <c r="R33" s="20" t="n">
        <v>0.05416839</v>
      </c>
    </row>
    <row r="34" spans="1:18">
      <c r="A34" s="15" t="s">
        <v>376</v>
      </c>
      <c r="B34" s="17" t="n">
        <v>3035</v>
      </c>
      <c r="C34" s="18">
        <f>(2669.0/B34*100)</f>
        <v/>
      </c>
      <c r="D34" s="19" t="n">
        <v>366</v>
      </c>
      <c r="E34" s="18" t="n">
        <v>78.82503680000001</v>
      </c>
      <c r="F34" s="20" t="n">
        <v>1.67087059</v>
      </c>
      <c r="G34" s="18" t="n">
        <v>20.77383804</v>
      </c>
      <c r="H34" s="20" t="n">
        <v>1.60738393</v>
      </c>
      <c r="I34" s="18" t="s">
        <v>349</v>
      </c>
      <c r="J34" s="20" t="s">
        <v>349</v>
      </c>
      <c r="K34" s="18" t="n">
        <v>0</v>
      </c>
      <c r="L34" s="20" t="n">
        <v>0</v>
      </c>
      <c r="M34" s="18" t="n">
        <v>0</v>
      </c>
      <c r="N34" s="20" t="n">
        <v>0</v>
      </c>
      <c r="O34" s="18" t="n">
        <v>0</v>
      </c>
      <c r="P34" s="20" t="n">
        <v>0</v>
      </c>
      <c r="Q34" s="18" t="n">
        <v>0.40112515</v>
      </c>
      <c r="R34" s="20" t="n">
        <v>0.40926107</v>
      </c>
    </row>
    <row r="35" spans="1:18">
      <c r="A35" s="15" t="s">
        <v>377</v>
      </c>
      <c r="B35" s="17" t="n">
        <v>2901</v>
      </c>
      <c r="C35" s="18">
        <f>(2520.0/B35*100)</f>
        <v/>
      </c>
      <c r="D35" s="19" t="n">
        <v>381</v>
      </c>
      <c r="E35" s="18" t="n">
        <v>69.9052734</v>
      </c>
      <c r="F35" s="20" t="n">
        <v>2.83535796</v>
      </c>
      <c r="G35" s="18" t="n">
        <v>29.89573769</v>
      </c>
      <c r="H35" s="20" t="n">
        <v>2.80575673</v>
      </c>
      <c r="I35" s="18" t="s">
        <v>349</v>
      </c>
      <c r="J35" s="20" t="s">
        <v>349</v>
      </c>
      <c r="K35" s="18" t="n">
        <v>0.09890655</v>
      </c>
      <c r="L35" s="20" t="n">
        <v>0.09973542000000001</v>
      </c>
      <c r="M35" s="18" t="n">
        <v>0</v>
      </c>
      <c r="N35" s="20" t="n">
        <v>0</v>
      </c>
      <c r="O35" s="18" t="n">
        <v>0</v>
      </c>
      <c r="P35" s="20" t="n">
        <v>0</v>
      </c>
      <c r="Q35" s="18" t="n">
        <v>0.10008236</v>
      </c>
      <c r="R35" s="20" t="n">
        <v>0.10173512</v>
      </c>
    </row>
    <row r="36" spans="1:18">
      <c r="A36" s="15" t="s">
        <v>378</v>
      </c>
      <c r="B36" s="17" t="n">
        <v>3404</v>
      </c>
      <c r="C36" s="18">
        <f>(2977.0/B36*100)</f>
        <v/>
      </c>
      <c r="D36" s="19" t="n">
        <v>427</v>
      </c>
      <c r="E36" s="18" t="n">
        <v>57.08646778</v>
      </c>
      <c r="F36" s="20" t="n">
        <v>2.32975581</v>
      </c>
      <c r="G36" s="18" t="n">
        <v>42.5288042</v>
      </c>
      <c r="H36" s="20" t="n">
        <v>2.2911229</v>
      </c>
      <c r="I36" s="18" t="s">
        <v>349</v>
      </c>
      <c r="J36" s="20" t="s">
        <v>349</v>
      </c>
      <c r="K36" s="18" t="n">
        <v>0.38472802</v>
      </c>
      <c r="L36" s="20" t="n">
        <v>0.34334563</v>
      </c>
      <c r="M36" s="18" t="n">
        <v>0</v>
      </c>
      <c r="N36" s="20" t="n">
        <v>0</v>
      </c>
      <c r="O36" s="18" t="n">
        <v>0</v>
      </c>
      <c r="P36" s="20" t="n">
        <v>0</v>
      </c>
      <c r="Q36" s="18" t="n">
        <v>0</v>
      </c>
      <c r="R36" s="20" t="n">
        <v>0</v>
      </c>
    </row>
    <row r="37" spans="1:18">
      <c r="A37" s="15" t="s">
        <v>379</v>
      </c>
      <c r="B37" s="17" t="n">
        <v>2731</v>
      </c>
      <c r="C37" s="18">
        <f>(2383.0/B37*100)</f>
        <v/>
      </c>
      <c r="D37" s="19" t="n">
        <v>348</v>
      </c>
      <c r="E37" s="18" t="n">
        <v>54.79430658</v>
      </c>
      <c r="F37" s="20" t="n">
        <v>2.96466267</v>
      </c>
      <c r="G37" s="18" t="n">
        <v>44.62187526</v>
      </c>
      <c r="H37" s="20" t="n">
        <v>2.98538968</v>
      </c>
      <c r="I37" s="18" t="s">
        <v>349</v>
      </c>
      <c r="J37" s="20" t="s">
        <v>349</v>
      </c>
      <c r="K37" s="18" t="n">
        <v>0</v>
      </c>
      <c r="L37" s="20" t="n">
        <v>0</v>
      </c>
      <c r="M37" s="18" t="n">
        <v>0</v>
      </c>
      <c r="N37" s="20" t="n">
        <v>0</v>
      </c>
      <c r="O37" s="18" t="n">
        <v>0</v>
      </c>
      <c r="P37" s="20" t="n">
        <v>0</v>
      </c>
      <c r="Q37" s="18" t="n">
        <v>0.58381816</v>
      </c>
      <c r="R37" s="20" t="n">
        <v>0.40879504</v>
      </c>
    </row>
    <row r="38" spans="1:18">
      <c r="A38" s="15" t="s">
        <v>380</v>
      </c>
      <c r="B38" s="17" t="n">
        <v>2807</v>
      </c>
      <c r="C38" s="18">
        <f>(2326.0/B38*100)</f>
        <v/>
      </c>
      <c r="D38" s="19" t="n">
        <v>481</v>
      </c>
      <c r="E38" s="18" t="n">
        <v>56.68577147</v>
      </c>
      <c r="F38" s="20" t="n">
        <v>2.38420031</v>
      </c>
      <c r="G38" s="18" t="n">
        <v>42.50273006</v>
      </c>
      <c r="H38" s="20" t="n">
        <v>2.3528149</v>
      </c>
      <c r="I38" s="18" t="s">
        <v>349</v>
      </c>
      <c r="J38" s="20" t="s">
        <v>349</v>
      </c>
      <c r="K38" s="18" t="n">
        <v>0.05897233</v>
      </c>
      <c r="L38" s="20" t="n">
        <v>0.03995043</v>
      </c>
      <c r="M38" s="18" t="n">
        <v>0</v>
      </c>
      <c r="N38" s="20" t="n">
        <v>0</v>
      </c>
      <c r="O38" s="18" t="n">
        <v>0</v>
      </c>
      <c r="P38" s="20" t="n">
        <v>0</v>
      </c>
      <c r="Q38" s="18" t="n">
        <v>0.75252614</v>
      </c>
      <c r="R38" s="20" t="n">
        <v>0.3778054</v>
      </c>
    </row>
    <row r="39" spans="1:18">
      <c r="A39" s="15" t="s">
        <v>381</v>
      </c>
      <c r="B39" s="17" t="n">
        <v>2938</v>
      </c>
      <c r="C39" s="18">
        <f>(2601.0/B39*100)</f>
        <v/>
      </c>
      <c r="D39" s="19" t="n">
        <v>337</v>
      </c>
      <c r="E39" s="18" t="n">
        <v>63.90226772</v>
      </c>
      <c r="F39" s="20" t="n">
        <v>3.38618423</v>
      </c>
      <c r="G39" s="18" t="n">
        <v>34.99918441</v>
      </c>
      <c r="H39" s="20" t="n">
        <v>3.44176756</v>
      </c>
      <c r="I39" s="18" t="s">
        <v>349</v>
      </c>
      <c r="J39" s="20" t="s">
        <v>349</v>
      </c>
      <c r="K39" s="18" t="n">
        <v>0.9266805299999999</v>
      </c>
      <c r="L39" s="20" t="n">
        <v>0.64898062</v>
      </c>
      <c r="M39" s="18" t="n">
        <v>0</v>
      </c>
      <c r="N39" s="20" t="n">
        <v>0</v>
      </c>
      <c r="O39" s="18" t="n">
        <v>0</v>
      </c>
      <c r="P39" s="20" t="n">
        <v>0</v>
      </c>
      <c r="Q39" s="18" t="n">
        <v>0.17186733</v>
      </c>
      <c r="R39" s="20" t="n">
        <v>0.24596473</v>
      </c>
    </row>
    <row r="40" spans="1:18">
      <c r="A40" s="15" t="s">
        <v>382</v>
      </c>
      <c r="B40" s="17" t="n">
        <v>6922</v>
      </c>
      <c r="C40" s="18">
        <f>(6092.0/B40*100)</f>
        <v/>
      </c>
      <c r="D40" s="19" t="n">
        <v>830</v>
      </c>
      <c r="E40" s="18" t="n">
        <v>55.76400302</v>
      </c>
      <c r="F40" s="20" t="n">
        <v>2.90459612</v>
      </c>
      <c r="G40" s="18" t="n">
        <v>43.70544422</v>
      </c>
      <c r="H40" s="20" t="n">
        <v>2.89962843</v>
      </c>
      <c r="I40" s="18" t="s">
        <v>349</v>
      </c>
      <c r="J40" s="20" t="s">
        <v>349</v>
      </c>
      <c r="K40" s="18" t="n">
        <v>0</v>
      </c>
      <c r="L40" s="20" t="n">
        <v>0</v>
      </c>
      <c r="M40" s="18" t="n">
        <v>0</v>
      </c>
      <c r="N40" s="20" t="n">
        <v>0</v>
      </c>
      <c r="O40" s="18" t="n">
        <v>0</v>
      </c>
      <c r="P40" s="20" t="n">
        <v>0</v>
      </c>
      <c r="Q40" s="18" t="n">
        <v>0.53055276</v>
      </c>
      <c r="R40" s="20" t="n">
        <v>0.45482062</v>
      </c>
    </row>
    <row r="41" spans="1:18">
      <c r="A41" s="15" t="s">
        <v>383</v>
      </c>
      <c r="B41" s="17" t="n">
        <v>2854</v>
      </c>
      <c r="C41" s="18">
        <f>(2505.0/B41*100)</f>
        <v/>
      </c>
      <c r="D41" s="19" t="n">
        <v>349</v>
      </c>
      <c r="E41" s="18" t="n">
        <v>73.90736560000001</v>
      </c>
      <c r="F41" s="20" t="n">
        <v>3.05311508</v>
      </c>
      <c r="G41" s="18" t="n">
        <v>25.08006111</v>
      </c>
      <c r="H41" s="20" t="n">
        <v>2.76289386</v>
      </c>
      <c r="I41" s="18" t="s">
        <v>349</v>
      </c>
      <c r="J41" s="20" t="s">
        <v>349</v>
      </c>
      <c r="K41" s="18" t="n">
        <v>0</v>
      </c>
      <c r="L41" s="20" t="n">
        <v>0</v>
      </c>
      <c r="M41" s="18" t="n">
        <v>0</v>
      </c>
      <c r="N41" s="20" t="n">
        <v>0</v>
      </c>
      <c r="O41" s="18" t="n">
        <v>0</v>
      </c>
      <c r="P41" s="20" t="n">
        <v>0</v>
      </c>
      <c r="Q41" s="18" t="n">
        <v>1.01257329</v>
      </c>
      <c r="R41" s="20" t="n">
        <v>1.01192617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(10706.0/B46*100)</f>
        <v/>
      </c>
      <c r="D46" s="19" t="n">
        <v>1367</v>
      </c>
      <c r="E46" s="18" t="n">
        <v>87.28941784</v>
      </c>
      <c r="F46" s="20" t="n">
        <v>1.18944818</v>
      </c>
      <c r="G46" s="18" t="n">
        <v>10.98088124</v>
      </c>
      <c r="H46" s="20" t="n">
        <v>1.10667768</v>
      </c>
      <c r="I46" s="18" t="s">
        <v>349</v>
      </c>
      <c r="J46" s="20" t="s">
        <v>349</v>
      </c>
      <c r="K46" s="18" t="n">
        <v>0.15843497</v>
      </c>
      <c r="L46" s="20" t="n">
        <v>0.11087473</v>
      </c>
      <c r="M46" s="18" t="n">
        <v>0</v>
      </c>
      <c r="N46" s="20" t="n">
        <v>0</v>
      </c>
      <c r="O46" s="18" t="n">
        <v>0</v>
      </c>
      <c r="P46" s="20" t="n">
        <v>0</v>
      </c>
      <c r="Q46" s="18" t="n">
        <v>1.57126595</v>
      </c>
      <c r="R46" s="20" t="n">
        <v>0.43199888</v>
      </c>
    </row>
    <row r="47" spans="1:18">
      <c r="A47" s="15" t="s">
        <v>389</v>
      </c>
      <c r="B47" s="17" t="n">
        <v>2823</v>
      </c>
      <c r="C47" s="18">
        <f>(2472.0/B47*100)</f>
        <v/>
      </c>
      <c r="D47" s="19" t="n">
        <v>351</v>
      </c>
      <c r="E47" s="18" t="n">
        <v>83.6768233</v>
      </c>
      <c r="F47" s="20" t="n">
        <v>1.83839369</v>
      </c>
      <c r="G47" s="18" t="n">
        <v>15.73606728</v>
      </c>
      <c r="H47" s="20" t="n">
        <v>1.80095805</v>
      </c>
      <c r="I47" s="18" t="s">
        <v>349</v>
      </c>
      <c r="J47" s="20" t="s">
        <v>349</v>
      </c>
      <c r="K47" s="18" t="n">
        <v>0</v>
      </c>
      <c r="L47" s="20" t="n">
        <v>0</v>
      </c>
      <c r="M47" s="18" t="n">
        <v>0</v>
      </c>
      <c r="N47" s="20" t="n">
        <v>0</v>
      </c>
      <c r="O47" s="18" t="n">
        <v>0</v>
      </c>
      <c r="P47" s="20" t="n">
        <v>0</v>
      </c>
      <c r="Q47" s="18" t="n">
        <v>0.5871094100000001</v>
      </c>
      <c r="R47" s="20" t="n">
        <v>0.42135319</v>
      </c>
    </row>
    <row r="48" spans="1:18">
      <c r="A48" s="15" t="s">
        <v>390</v>
      </c>
      <c r="B48" s="17" t="n">
        <v>4682</v>
      </c>
      <c r="C48" s="18">
        <f>(4108.0/B48*100)</f>
        <v/>
      </c>
      <c r="D48" s="19" t="n">
        <v>574</v>
      </c>
      <c r="E48" s="18" t="n">
        <v>57.24192194</v>
      </c>
      <c r="F48" s="20" t="n">
        <v>2.43961259</v>
      </c>
      <c r="G48" s="18" t="n">
        <v>42.75807806</v>
      </c>
      <c r="H48" s="20" t="n">
        <v>2.43961259</v>
      </c>
      <c r="I48" s="18" t="s">
        <v>349</v>
      </c>
      <c r="J48" s="20" t="s">
        <v>349</v>
      </c>
      <c r="K48" s="18" t="n">
        <v>0</v>
      </c>
      <c r="L48" s="20" t="n">
        <v>0</v>
      </c>
      <c r="M48" s="18" t="n">
        <v>0</v>
      </c>
      <c r="N48" s="20" t="n">
        <v>0</v>
      </c>
      <c r="O48" s="18" t="n">
        <v>0</v>
      </c>
      <c r="P48" s="20" t="n">
        <v>0</v>
      </c>
      <c r="Q48" s="18" t="n">
        <v>0</v>
      </c>
      <c r="R48" s="20" t="n">
        <v>0</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(5433.0/B50*100)</f>
        <v/>
      </c>
      <c r="D50" s="19" t="n">
        <v>725</v>
      </c>
      <c r="E50" s="18" t="n">
        <v>87.92222282</v>
      </c>
      <c r="F50" s="20" t="n">
        <v>1.55599373</v>
      </c>
      <c r="G50" s="18" t="n">
        <v>11.20595153</v>
      </c>
      <c r="H50" s="20" t="n">
        <v>1.4969725</v>
      </c>
      <c r="I50" s="18" t="s">
        <v>349</v>
      </c>
      <c r="J50" s="20" t="s">
        <v>349</v>
      </c>
      <c r="K50" s="18" t="n">
        <v>0.7544287200000001</v>
      </c>
      <c r="L50" s="20" t="n">
        <v>0.37720083</v>
      </c>
      <c r="M50" s="18" t="n">
        <v>0</v>
      </c>
      <c r="N50" s="20" t="n">
        <v>0</v>
      </c>
      <c r="O50" s="18" t="n">
        <v>0</v>
      </c>
      <c r="P50" s="20" t="n">
        <v>0</v>
      </c>
      <c r="Q50" s="18" t="n">
        <v>0.11739693</v>
      </c>
      <c r="R50" s="20" t="n">
        <v>0.11205058</v>
      </c>
    </row>
    <row r="51" spans="1:18">
      <c r="A51" s="15" t="s">
        <v>393</v>
      </c>
      <c r="B51" s="17" t="n">
        <v>3494</v>
      </c>
      <c r="C51" s="18">
        <f>(3123.0/B51*100)</f>
        <v/>
      </c>
      <c r="D51" s="19" t="n">
        <v>371</v>
      </c>
      <c r="E51" s="18" t="n">
        <v>77.09973119999999</v>
      </c>
      <c r="F51" s="20" t="n">
        <v>1.87784369</v>
      </c>
      <c r="G51" s="18" t="n">
        <v>21.91525402</v>
      </c>
      <c r="H51" s="20" t="n">
        <v>1.91238901</v>
      </c>
      <c r="I51" s="18" t="s">
        <v>349</v>
      </c>
      <c r="J51" s="20" t="s">
        <v>349</v>
      </c>
      <c r="K51" s="18" t="n">
        <v>0</v>
      </c>
      <c r="L51" s="20" t="n">
        <v>0</v>
      </c>
      <c r="M51" s="18" t="n">
        <v>0</v>
      </c>
      <c r="N51" s="20" t="n">
        <v>0</v>
      </c>
      <c r="O51" s="18" t="n">
        <v>0</v>
      </c>
      <c r="P51" s="20" t="n">
        <v>0</v>
      </c>
      <c r="Q51" s="18" t="n">
        <v>0.98501478</v>
      </c>
      <c r="R51" s="20" t="n">
        <v>0.49966106</v>
      </c>
    </row>
    <row r="52" spans="1:18">
      <c r="A52" s="15" t="s">
        <v>394</v>
      </c>
      <c r="B52" s="17" t="n">
        <v>3013</v>
      </c>
      <c r="C52" s="18">
        <f>(2650.0/B52*100)</f>
        <v/>
      </c>
      <c r="D52" s="19" t="n">
        <v>363</v>
      </c>
      <c r="E52" s="18" t="n">
        <v>80.92486559</v>
      </c>
      <c r="F52" s="20" t="n">
        <v>1.78021438</v>
      </c>
      <c r="G52" s="18" t="n">
        <v>18.63925426</v>
      </c>
      <c r="H52" s="20" t="n">
        <v>1.74966043</v>
      </c>
      <c r="I52" s="18" t="s">
        <v>349</v>
      </c>
      <c r="J52" s="20" t="s">
        <v>349</v>
      </c>
      <c r="K52" s="18" t="n">
        <v>0</v>
      </c>
      <c r="L52" s="20" t="n">
        <v>0</v>
      </c>
      <c r="M52" s="18" t="n">
        <v>0</v>
      </c>
      <c r="N52" s="20" t="n">
        <v>0</v>
      </c>
      <c r="O52" s="18" t="n">
        <v>0</v>
      </c>
      <c r="P52" s="20" t="n">
        <v>0</v>
      </c>
      <c r="Q52" s="18" t="n">
        <v>0.43588015</v>
      </c>
      <c r="R52" s="20" t="n">
        <v>0.31312838</v>
      </c>
    </row>
    <row r="53" spans="1:18">
      <c r="A53" s="15" t="s">
        <v>395</v>
      </c>
      <c r="B53" s="17" t="n">
        <v>2760</v>
      </c>
      <c r="C53" s="18">
        <f>(2429.0/B53*100)</f>
        <v/>
      </c>
      <c r="D53" s="19" t="n">
        <v>331</v>
      </c>
      <c r="E53" s="18" t="n">
        <v>58.84685365</v>
      </c>
      <c r="F53" s="20" t="n">
        <v>2.92188299</v>
      </c>
      <c r="G53" s="18" t="n">
        <v>40.77070538</v>
      </c>
      <c r="H53" s="20" t="n">
        <v>2.89240558</v>
      </c>
      <c r="I53" s="18" t="s">
        <v>349</v>
      </c>
      <c r="J53" s="20" t="s">
        <v>349</v>
      </c>
      <c r="K53" s="18" t="n">
        <v>0</v>
      </c>
      <c r="L53" s="20" t="n">
        <v>0</v>
      </c>
      <c r="M53" s="18" t="n">
        <v>0</v>
      </c>
      <c r="N53" s="20" t="n">
        <v>0</v>
      </c>
      <c r="O53" s="18" t="n">
        <v>0</v>
      </c>
      <c r="P53" s="20" t="n">
        <v>0</v>
      </c>
      <c r="Q53" s="18" t="n">
        <v>0.38244097</v>
      </c>
      <c r="R53" s="20" t="n">
        <v>0.38508279</v>
      </c>
    </row>
    <row r="54" spans="1:18">
      <c r="A54" s="15" t="s">
        <v>396</v>
      </c>
      <c r="B54" s="17" t="n">
        <v>2474</v>
      </c>
      <c r="C54" s="18">
        <f>(2046.0/B54*100)</f>
        <v/>
      </c>
      <c r="D54" s="19" t="n">
        <v>428</v>
      </c>
      <c r="E54" s="18" t="n">
        <v>84.41186743</v>
      </c>
      <c r="F54" s="20" t="n">
        <v>1.8156999</v>
      </c>
      <c r="G54" s="18" t="n">
        <v>7.42759298</v>
      </c>
      <c r="H54" s="20" t="n">
        <v>1.2263875</v>
      </c>
      <c r="I54" s="18" t="s">
        <v>349</v>
      </c>
      <c r="J54" s="20" t="s">
        <v>349</v>
      </c>
      <c r="K54" s="18" t="n">
        <v>5.37264283</v>
      </c>
      <c r="L54" s="20" t="n">
        <v>1.16687874</v>
      </c>
      <c r="M54" s="18" t="n">
        <v>0</v>
      </c>
      <c r="N54" s="20" t="n">
        <v>0</v>
      </c>
      <c r="O54" s="18" t="n">
        <v>0</v>
      </c>
      <c r="P54" s="20" t="n">
        <v>0</v>
      </c>
      <c r="Q54" s="18" t="n">
        <v>2.78789676</v>
      </c>
      <c r="R54" s="20" t="n">
        <v>0.88943845</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43.36286384</v>
      </c>
      <c r="F56" s="20" t="n">
        <v>3.14488417</v>
      </c>
      <c r="G56" s="18" t="n">
        <v>56.31666197</v>
      </c>
      <c r="H56" s="20" t="n">
        <v>3.13547079</v>
      </c>
      <c r="I56" s="18" t="s">
        <v>349</v>
      </c>
      <c r="J56" s="20" t="s">
        <v>349</v>
      </c>
      <c r="K56" s="18" t="n">
        <v>0</v>
      </c>
      <c r="L56" s="20" t="n">
        <v>0</v>
      </c>
      <c r="M56" s="18" t="n">
        <v>0</v>
      </c>
      <c r="N56" s="20" t="n">
        <v>0</v>
      </c>
      <c r="O56" s="18" t="n">
        <v>0</v>
      </c>
      <c r="P56" s="20" t="n">
        <v>0</v>
      </c>
      <c r="Q56" s="18" t="n">
        <v>0.32047419</v>
      </c>
      <c r="R56" s="20" t="n">
        <v>0.31750085</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(2787.0/B61*100)</f>
        <v/>
      </c>
      <c r="D61" s="19" t="n">
        <v>414</v>
      </c>
      <c r="E61" s="18" t="n">
        <v>78.14397269</v>
      </c>
      <c r="F61" s="20" t="n">
        <v>2.38361249</v>
      </c>
      <c r="G61" s="18" t="n">
        <v>20.82644317</v>
      </c>
      <c r="H61" s="20" t="n">
        <v>2.28020406</v>
      </c>
      <c r="I61" s="18" t="s">
        <v>349</v>
      </c>
      <c r="J61" s="20" t="s">
        <v>349</v>
      </c>
      <c r="K61" s="18" t="n">
        <v>0.70894501</v>
      </c>
      <c r="L61" s="20" t="n">
        <v>0.69102243</v>
      </c>
      <c r="M61" s="18" t="n">
        <v>0</v>
      </c>
      <c r="N61" s="20" t="n">
        <v>0</v>
      </c>
      <c r="O61" s="18" t="n">
        <v>0</v>
      </c>
      <c r="P61" s="20" t="n">
        <v>0</v>
      </c>
      <c r="Q61" s="18" t="n">
        <v>0.32063912</v>
      </c>
      <c r="R61" s="20" t="n">
        <v>0.33581275</v>
      </c>
    </row>
    <row r="62" spans="1:18">
      <c r="A62" s="15" t="s">
        <v>404</v>
      </c>
      <c r="B62" s="17" t="n">
        <v>2230</v>
      </c>
      <c r="C62" s="18">
        <f>(1959.0/B62*100)</f>
        <v/>
      </c>
      <c r="D62" s="19" t="n">
        <v>271</v>
      </c>
      <c r="E62" s="18" t="n">
        <v>41.7043116</v>
      </c>
      <c r="F62" s="20" t="n">
        <v>2.84136524</v>
      </c>
      <c r="G62" s="18" t="n">
        <v>58.2956884</v>
      </c>
      <c r="H62" s="20" t="n">
        <v>2.84136524</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(2436.0/B66*100)</f>
        <v/>
      </c>
      <c r="D66" s="19" t="n">
        <v>335</v>
      </c>
      <c r="E66" s="18" t="n">
        <v>78.62448548</v>
      </c>
      <c r="F66" s="20" t="n">
        <v>2.05117008</v>
      </c>
      <c r="G66" s="18" t="n">
        <v>19.93340848</v>
      </c>
      <c r="H66" s="20" t="n">
        <v>2.04166134</v>
      </c>
      <c r="I66" s="18" t="s">
        <v>349</v>
      </c>
      <c r="J66" s="20" t="s">
        <v>349</v>
      </c>
      <c r="K66" s="18" t="n">
        <v>0.26106646</v>
      </c>
      <c r="L66" s="20" t="n">
        <v>0.26084755</v>
      </c>
      <c r="M66" s="18" t="n">
        <v>0</v>
      </c>
      <c r="N66" s="20" t="n">
        <v>0</v>
      </c>
      <c r="O66" s="18" t="n">
        <v>0</v>
      </c>
      <c r="P66" s="20" t="n">
        <v>0</v>
      </c>
      <c r="Q66" s="18" t="n">
        <v>1.18103958</v>
      </c>
      <c r="R66" s="20" t="n">
        <v>0.58802521</v>
      </c>
    </row>
    <row r="67" spans="1:18">
      <c r="A67" s="15" t="s">
        <v>409</v>
      </c>
      <c r="B67" s="17" t="n">
        <v>3460</v>
      </c>
      <c r="C67" s="18">
        <f>(3054.0/B67*100)</f>
        <v/>
      </c>
      <c r="D67" s="19" t="n">
        <v>406</v>
      </c>
      <c r="E67" s="18" t="n">
        <v>92.92431324</v>
      </c>
      <c r="F67" s="20" t="n">
        <v>1.18432896</v>
      </c>
      <c r="G67" s="18" t="n">
        <v>5.95992065</v>
      </c>
      <c r="H67" s="20" t="n">
        <v>1.0392142</v>
      </c>
      <c r="I67" s="18" t="s">
        <v>349</v>
      </c>
      <c r="J67" s="20" t="s">
        <v>349</v>
      </c>
      <c r="K67" s="18" t="n">
        <v>0.31890974</v>
      </c>
      <c r="L67" s="20" t="n">
        <v>0.31997729</v>
      </c>
      <c r="M67" s="18" t="n">
        <v>0</v>
      </c>
      <c r="N67" s="20" t="n">
        <v>0</v>
      </c>
      <c r="O67" s="18" t="n">
        <v>0</v>
      </c>
      <c r="P67" s="20" t="n">
        <v>0</v>
      </c>
      <c r="Q67" s="18" t="n">
        <v>0.79685637</v>
      </c>
      <c r="R67" s="20" t="n">
        <v>0.48328705</v>
      </c>
    </row>
    <row r="68" spans="1:18">
      <c r="A68" s="15" t="s">
        <v>410</v>
      </c>
      <c r="B68" s="17" t="n">
        <v>6034</v>
      </c>
      <c r="C68" s="18">
        <f>(5042.0/B68*100)</f>
        <v/>
      </c>
      <c r="D68" s="19" t="n">
        <v>992</v>
      </c>
      <c r="E68" s="18" t="n">
        <v>89.24704513</v>
      </c>
      <c r="F68" s="20" t="n">
        <v>0.99321521</v>
      </c>
      <c r="G68" s="18" t="n">
        <v>8.751988150000001</v>
      </c>
      <c r="H68" s="20" t="n">
        <v>0.83428364</v>
      </c>
      <c r="I68" s="18" t="s">
        <v>349</v>
      </c>
      <c r="J68" s="20" t="s">
        <v>349</v>
      </c>
      <c r="K68" s="18" t="n">
        <v>0.58627295</v>
      </c>
      <c r="L68" s="20" t="n">
        <v>0.23960821</v>
      </c>
      <c r="M68" s="18" t="n">
        <v>0</v>
      </c>
      <c r="N68" s="20" t="n">
        <v>0</v>
      </c>
      <c r="O68" s="18" t="n">
        <v>0</v>
      </c>
      <c r="P68" s="20" t="n">
        <v>0</v>
      </c>
      <c r="Q68" s="18" t="n">
        <v>1.41469377</v>
      </c>
      <c r="R68" s="20" t="n">
        <v>0.36171353</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(2767.0/B70*100)</f>
        <v/>
      </c>
      <c r="D70" s="19" t="n">
        <v>340</v>
      </c>
      <c r="E70" s="18" t="n">
        <v>84.16628029</v>
      </c>
      <c r="F70" s="20" t="n">
        <v>1.90162357</v>
      </c>
      <c r="G70" s="18" t="n">
        <v>15.25320312</v>
      </c>
      <c r="H70" s="20" t="n">
        <v>1.93305663</v>
      </c>
      <c r="I70" s="18" t="s">
        <v>349</v>
      </c>
      <c r="J70" s="20" t="s">
        <v>349</v>
      </c>
      <c r="K70" s="18" t="n">
        <v>0.35261372</v>
      </c>
      <c r="L70" s="20" t="n">
        <v>0.25107652</v>
      </c>
      <c r="M70" s="18" t="n">
        <v>0</v>
      </c>
      <c r="N70" s="20" t="n">
        <v>0</v>
      </c>
      <c r="O70" s="18" t="n">
        <v>0</v>
      </c>
      <c r="P70" s="20" t="n">
        <v>0</v>
      </c>
      <c r="Q70" s="18" t="n">
        <v>0.22790288</v>
      </c>
      <c r="R70" s="20" t="n">
        <v>0.2151516</v>
      </c>
    </row>
    <row r="71" spans="1:18">
      <c r="A71" s="15" t="s">
        <v>413</v>
      </c>
      <c r="B71" s="17" t="n">
        <v>2973</v>
      </c>
      <c r="C71" s="18">
        <f>(2635.0/B71*100)</f>
        <v/>
      </c>
      <c r="D71" s="19" t="n">
        <v>338</v>
      </c>
      <c r="E71" s="18" t="n">
        <v>55.51169401</v>
      </c>
      <c r="F71" s="20" t="n">
        <v>2.94055766</v>
      </c>
      <c r="G71" s="18" t="n">
        <v>44.13853983</v>
      </c>
      <c r="H71" s="20" t="n">
        <v>2.92578135</v>
      </c>
      <c r="I71" s="18" t="s">
        <v>349</v>
      </c>
      <c r="J71" s="20" t="s">
        <v>349</v>
      </c>
      <c r="K71" s="18" t="n">
        <v>0</v>
      </c>
      <c r="L71" s="20" t="n">
        <v>0</v>
      </c>
      <c r="M71" s="18" t="n">
        <v>0</v>
      </c>
      <c r="N71" s="20" t="n">
        <v>0</v>
      </c>
      <c r="O71" s="18" t="n">
        <v>0</v>
      </c>
      <c r="P71" s="20" t="n">
        <v>0</v>
      </c>
      <c r="Q71" s="18" t="n">
        <v>0.34976616</v>
      </c>
      <c r="R71" s="20" t="n">
        <v>0.34875116</v>
      </c>
    </row>
    <row r="72" spans="1:18">
      <c r="A72" s="15" t="s">
        <v>414</v>
      </c>
      <c r="B72" s="17" t="n">
        <v>3819</v>
      </c>
      <c r="C72" s="18">
        <f>(3352.0/B72*100)</f>
        <v/>
      </c>
      <c r="D72" s="19" t="n">
        <v>467</v>
      </c>
      <c r="E72" s="18" t="n">
        <v>61.178414</v>
      </c>
      <c r="F72" s="20" t="n">
        <v>2.69087478</v>
      </c>
      <c r="G72" s="18" t="n">
        <v>38.821586</v>
      </c>
      <c r="H72" s="20" t="n">
        <v>2.69087478</v>
      </c>
      <c r="I72" s="18" t="s">
        <v>349</v>
      </c>
      <c r="J72" s="20" t="s">
        <v>349</v>
      </c>
      <c r="K72" s="18" t="n">
        <v>0</v>
      </c>
      <c r="L72" s="20" t="n">
        <v>0</v>
      </c>
      <c r="M72" s="18" t="n">
        <v>0</v>
      </c>
      <c r="N72" s="20" t="n">
        <v>0</v>
      </c>
      <c r="O72" s="18" t="n">
        <v>0</v>
      </c>
      <c r="P72" s="20" t="n">
        <v>0</v>
      </c>
      <c r="Q72" s="18" t="n">
        <v>0</v>
      </c>
      <c r="R72" s="20" t="n">
        <v>0</v>
      </c>
    </row>
    <row r="73" spans="1:18">
      <c r="A73" s="15" t="s">
        <v>415</v>
      </c>
      <c r="B73" s="17" t="n">
        <v>4652</v>
      </c>
      <c r="C73" s="18">
        <f>(4069.0/B73*100)</f>
        <v/>
      </c>
      <c r="D73" s="19" t="n">
        <v>583</v>
      </c>
      <c r="E73" s="18" t="n">
        <v>78.00394000999999</v>
      </c>
      <c r="F73" s="20" t="n">
        <v>2.00813551</v>
      </c>
      <c r="G73" s="18" t="n">
        <v>21.46451977</v>
      </c>
      <c r="H73" s="20" t="n">
        <v>1.99022726</v>
      </c>
      <c r="I73" s="18" t="s">
        <v>349</v>
      </c>
      <c r="J73" s="20" t="s">
        <v>349</v>
      </c>
      <c r="K73" s="18" t="n">
        <v>0</v>
      </c>
      <c r="L73" s="20" t="n">
        <v>0</v>
      </c>
      <c r="M73" s="18" t="n">
        <v>0</v>
      </c>
      <c r="N73" s="20" t="n">
        <v>0</v>
      </c>
      <c r="O73" s="18" t="n">
        <v>0</v>
      </c>
      <c r="P73" s="20" t="n">
        <v>0</v>
      </c>
      <c r="Q73" s="18" t="n">
        <v>0.53154022</v>
      </c>
      <c r="R73" s="20" t="n">
        <v>0.37588496</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(2613.0/B75*100)</f>
        <v/>
      </c>
      <c r="D75" s="19" t="n">
        <v>356</v>
      </c>
      <c r="E75" s="18" t="n">
        <v>90.25325220000001</v>
      </c>
      <c r="F75" s="20" t="n">
        <v>1.76591358</v>
      </c>
      <c r="G75" s="18" t="n">
        <v>6.16597688</v>
      </c>
      <c r="H75" s="20" t="n">
        <v>1.22226504</v>
      </c>
      <c r="I75" s="18" t="s">
        <v>349</v>
      </c>
      <c r="J75" s="20" t="s">
        <v>349</v>
      </c>
      <c r="K75" s="18" t="n">
        <v>1.29600774</v>
      </c>
      <c r="L75" s="20" t="n">
        <v>0.6305293</v>
      </c>
      <c r="M75" s="18" t="n">
        <v>0</v>
      </c>
      <c r="N75" s="20" t="n">
        <v>0</v>
      </c>
      <c r="O75" s="18" t="n">
        <v>0</v>
      </c>
      <c r="P75" s="20" t="n">
        <v>0</v>
      </c>
      <c r="Q75" s="18" t="n">
        <v>2.28476318</v>
      </c>
      <c r="R75" s="20" t="n">
        <v>0.89755454</v>
      </c>
    </row>
    <row r="76" spans="1:18">
      <c r="A76" s="15" t="s">
        <v>418</v>
      </c>
      <c r="B76" s="17" t="n">
        <v>7115</v>
      </c>
      <c r="C76" s="18">
        <f>(6279.0/B76*100)</f>
        <v/>
      </c>
      <c r="D76" s="19" t="n">
        <v>836</v>
      </c>
      <c r="E76" s="18" t="n">
        <v>88.87240322</v>
      </c>
      <c r="F76" s="20" t="n">
        <v>1.44273158</v>
      </c>
      <c r="G76" s="18" t="n">
        <v>10.4694104</v>
      </c>
      <c r="H76" s="20" t="n">
        <v>1.43314154</v>
      </c>
      <c r="I76" s="18" t="s">
        <v>349</v>
      </c>
      <c r="J76" s="20" t="s">
        <v>349</v>
      </c>
      <c r="K76" s="18" t="n">
        <v>0.18030863</v>
      </c>
      <c r="L76" s="20" t="n">
        <v>0.17885346</v>
      </c>
      <c r="M76" s="18" t="n">
        <v>0</v>
      </c>
      <c r="N76" s="20" t="n">
        <v>0</v>
      </c>
      <c r="O76" s="18" t="n">
        <v>0</v>
      </c>
      <c r="P76" s="20" t="n">
        <v>0</v>
      </c>
      <c r="Q76" s="18" t="n">
        <v>0.47787775</v>
      </c>
      <c r="R76" s="20" t="n">
        <v>0.21363214</v>
      </c>
    </row>
    <row r="77" spans="1:18">
      <c r="A77" s="15" t="s">
        <v>419</v>
      </c>
      <c r="B77" s="17" t="n">
        <v>3154</v>
      </c>
      <c r="C77" s="18">
        <f>(2770.0/B77*100)</f>
        <v/>
      </c>
      <c r="D77" s="19" t="n">
        <v>384</v>
      </c>
      <c r="E77" s="18" t="n">
        <v>81.23499327</v>
      </c>
      <c r="F77" s="20" t="n">
        <v>1.8638352</v>
      </c>
      <c r="G77" s="18" t="n">
        <v>17.05281146</v>
      </c>
      <c r="H77" s="20" t="n">
        <v>1.75480358</v>
      </c>
      <c r="I77" s="18" t="s">
        <v>349</v>
      </c>
      <c r="J77" s="20" t="s">
        <v>349</v>
      </c>
      <c r="K77" s="18" t="n">
        <v>0.6219829100000001</v>
      </c>
      <c r="L77" s="20" t="n">
        <v>0.47863716</v>
      </c>
      <c r="M77" s="18" t="n">
        <v>0</v>
      </c>
      <c r="N77" s="20" t="n">
        <v>0</v>
      </c>
      <c r="O77" s="18" t="n">
        <v>0</v>
      </c>
      <c r="P77" s="20" t="n">
        <v>0</v>
      </c>
      <c r="Q77" s="18" t="n">
        <v>1.09021236</v>
      </c>
      <c r="R77" s="20" t="n">
        <v>0.54125462</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(4125.0/B81*100)</f>
        <v/>
      </c>
      <c r="D81" s="19" t="n">
        <v>573</v>
      </c>
      <c r="E81" s="18" t="n">
        <v>95.16895808</v>
      </c>
      <c r="F81" s="20" t="n">
        <v>0.93657269</v>
      </c>
      <c r="G81" s="18" t="n">
        <v>4.55063177</v>
      </c>
      <c r="H81" s="20" t="n">
        <v>0.97397103</v>
      </c>
      <c r="I81" s="18" t="s">
        <v>349</v>
      </c>
      <c r="J81" s="20" t="s">
        <v>349</v>
      </c>
      <c r="K81" s="18" t="n">
        <v>0</v>
      </c>
      <c r="L81" s="20" t="n">
        <v>0</v>
      </c>
      <c r="M81" s="18" t="n">
        <v>0</v>
      </c>
      <c r="N81" s="20" t="n">
        <v>0</v>
      </c>
      <c r="O81" s="18" t="n">
        <v>0</v>
      </c>
      <c r="P81" s="20" t="n">
        <v>0</v>
      </c>
      <c r="Q81" s="18" t="n">
        <v>0.28041015</v>
      </c>
      <c r="R81" s="20" t="n">
        <v>0.27762459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(6303.0/B7*100)</f>
        <v/>
      </c>
      <c r="D7" s="19" t="n">
        <v>860</v>
      </c>
      <c r="E7" s="18" t="n">
        <v>41.59190136</v>
      </c>
      <c r="F7" s="20" t="n">
        <v>2.18666371</v>
      </c>
      <c r="G7" s="18" t="n">
        <v>57.75890578</v>
      </c>
      <c r="H7" s="20" t="n">
        <v>2.15844413</v>
      </c>
      <c r="I7" s="18" t="s">
        <v>349</v>
      </c>
      <c r="J7" s="20" t="s">
        <v>349</v>
      </c>
      <c r="K7" s="18" t="n">
        <v>0.52605779</v>
      </c>
      <c r="L7" s="20" t="n">
        <v>0.28719573</v>
      </c>
      <c r="M7" s="18" t="n">
        <v>0</v>
      </c>
      <c r="N7" s="20" t="n">
        <v>0</v>
      </c>
      <c r="O7" s="18" t="n">
        <v>0</v>
      </c>
      <c r="P7" s="20" t="n">
        <v>0</v>
      </c>
      <c r="Q7" s="18" t="n">
        <v>0.12313507</v>
      </c>
      <c r="R7" s="20" t="n">
        <v>0.11803956</v>
      </c>
    </row>
    <row r="8" spans="1:18">
      <c r="A8" s="15" t="s">
        <v>350</v>
      </c>
      <c r="B8" s="17" t="n">
        <v>3443</v>
      </c>
      <c r="C8" s="18">
        <f>(3031.0/B8*100)</f>
        <v/>
      </c>
      <c r="D8" s="19" t="n">
        <v>412</v>
      </c>
      <c r="E8" s="18" t="n">
        <v>50.4477169</v>
      </c>
      <c r="F8" s="20" t="n">
        <v>2.5226052</v>
      </c>
      <c r="G8" s="18" t="n">
        <v>49.21542257</v>
      </c>
      <c r="H8" s="20" t="n">
        <v>2.58858678</v>
      </c>
      <c r="I8" s="18" t="s">
        <v>349</v>
      </c>
      <c r="J8" s="20" t="s">
        <v>349</v>
      </c>
      <c r="K8" s="18" t="n">
        <v>0</v>
      </c>
      <c r="L8" s="20" t="n">
        <v>0</v>
      </c>
      <c r="M8" s="18" t="n">
        <v>0</v>
      </c>
      <c r="N8" s="20" t="n">
        <v>0</v>
      </c>
      <c r="O8" s="18" t="n">
        <v>0</v>
      </c>
      <c r="P8" s="20" t="n">
        <v>0</v>
      </c>
      <c r="Q8" s="18" t="n">
        <v>0.33686053</v>
      </c>
      <c r="R8" s="20" t="n">
        <v>0.33831068</v>
      </c>
    </row>
    <row r="9" spans="1:18">
      <c r="A9" s="15" t="s">
        <v>351</v>
      </c>
      <c r="B9" s="17" t="n">
        <v>4752</v>
      </c>
      <c r="C9" s="18">
        <f>(4174.0/B9*100)</f>
        <v/>
      </c>
      <c r="D9" s="19" t="n">
        <v>578</v>
      </c>
      <c r="E9" s="18" t="n">
        <v>56.32236025</v>
      </c>
      <c r="F9" s="20" t="n">
        <v>1.64984006</v>
      </c>
      <c r="G9" s="18" t="n">
        <v>43.67763975</v>
      </c>
      <c r="H9" s="20" t="n">
        <v>1.64984006</v>
      </c>
      <c r="I9" s="18" t="s">
        <v>349</v>
      </c>
      <c r="J9" s="20" t="s">
        <v>349</v>
      </c>
      <c r="K9" s="18" t="n">
        <v>0</v>
      </c>
      <c r="L9" s="20" t="n">
        <v>0</v>
      </c>
      <c r="M9" s="18" t="n">
        <v>0</v>
      </c>
      <c r="N9" s="20" t="n">
        <v>0</v>
      </c>
      <c r="O9" s="18" t="n">
        <v>0</v>
      </c>
      <c r="P9" s="20" t="n">
        <v>0</v>
      </c>
      <c r="Q9" s="18" t="n">
        <v>0</v>
      </c>
      <c r="R9" s="20" t="n">
        <v>0</v>
      </c>
    </row>
    <row r="10" spans="1:18">
      <c r="A10" s="15" t="s">
        <v>352</v>
      </c>
      <c r="B10" s="17" t="n">
        <v>10022</v>
      </c>
      <c r="C10" s="18">
        <f>(8780.0/B10*100)</f>
        <v/>
      </c>
      <c r="D10" s="19" t="n">
        <v>1242</v>
      </c>
      <c r="E10" s="18" t="n">
        <v>34.6836079</v>
      </c>
      <c r="F10" s="20" t="n">
        <v>1.96607769</v>
      </c>
      <c r="G10" s="18" t="n">
        <v>65.23129173</v>
      </c>
      <c r="H10" s="20" t="n">
        <v>1.97476593</v>
      </c>
      <c r="I10" s="18" t="s">
        <v>349</v>
      </c>
      <c r="J10" s="20" t="s">
        <v>349</v>
      </c>
      <c r="K10" s="18" t="n">
        <v>0.08510036999999999</v>
      </c>
      <c r="L10" s="20" t="n">
        <v>0.05273838</v>
      </c>
      <c r="M10" s="18" t="n">
        <v>0</v>
      </c>
      <c r="N10" s="20" t="n">
        <v>0</v>
      </c>
      <c r="O10" s="18" t="n">
        <v>0</v>
      </c>
      <c r="P10" s="20" t="n">
        <v>0</v>
      </c>
      <c r="Q10" s="18" t="n">
        <v>0</v>
      </c>
      <c r="R10" s="20" t="n">
        <v>0</v>
      </c>
    </row>
    <row r="11" spans="1:18">
      <c r="A11" s="15" t="s">
        <v>353</v>
      </c>
      <c r="B11" s="17" t="n">
        <v>3500</v>
      </c>
      <c r="C11" s="18">
        <f>(3078.0/B11*100)</f>
        <v/>
      </c>
      <c r="D11" s="19" t="n">
        <v>422</v>
      </c>
      <c r="E11" s="18" t="n">
        <v>68.19430173000001</v>
      </c>
      <c r="F11" s="20" t="n">
        <v>2.44522012</v>
      </c>
      <c r="G11" s="18" t="n">
        <v>31.49968053</v>
      </c>
      <c r="H11" s="20" t="n">
        <v>2.45630015</v>
      </c>
      <c r="I11" s="18" t="s">
        <v>349</v>
      </c>
      <c r="J11" s="20" t="s">
        <v>349</v>
      </c>
      <c r="K11" s="18" t="n">
        <v>0.30601775</v>
      </c>
      <c r="L11" s="20" t="n">
        <v>0.30145077</v>
      </c>
      <c r="M11" s="18" t="n">
        <v>0</v>
      </c>
      <c r="N11" s="20" t="n">
        <v>0</v>
      </c>
      <c r="O11" s="18" t="n">
        <v>0</v>
      </c>
      <c r="P11" s="20" t="n">
        <v>0</v>
      </c>
      <c r="Q11" s="18" t="n">
        <v>0</v>
      </c>
      <c r="R11" s="20" t="n">
        <v>0</v>
      </c>
    </row>
    <row r="12" spans="1:18">
      <c r="A12" s="15" t="s">
        <v>354</v>
      </c>
      <c r="B12" s="17" t="n">
        <v>3422</v>
      </c>
      <c r="C12" s="18">
        <f>(2976.0/B12*100)</f>
        <v/>
      </c>
      <c r="D12" s="19" t="n">
        <v>446</v>
      </c>
      <c r="E12" s="18" t="n">
        <v>52.87016555</v>
      </c>
      <c r="F12" s="20" t="n">
        <v>2.97924766</v>
      </c>
      <c r="G12" s="18" t="n">
        <v>47.12983445</v>
      </c>
      <c r="H12" s="20" t="n">
        <v>2.97924766</v>
      </c>
      <c r="I12" s="18" t="s">
        <v>349</v>
      </c>
      <c r="J12" s="20" t="s">
        <v>349</v>
      </c>
      <c r="K12" s="18" t="n">
        <v>0</v>
      </c>
      <c r="L12" s="20" t="n">
        <v>0</v>
      </c>
      <c r="M12" s="18" t="n">
        <v>0</v>
      </c>
      <c r="N12" s="20" t="n">
        <v>0</v>
      </c>
      <c r="O12" s="18" t="n">
        <v>0</v>
      </c>
      <c r="P12" s="20" t="n">
        <v>0</v>
      </c>
      <c r="Q12" s="18" t="n">
        <v>0</v>
      </c>
      <c r="R12" s="20" t="n">
        <v>0</v>
      </c>
    </row>
    <row r="13" spans="1:18">
      <c r="A13" s="15" t="s">
        <v>355</v>
      </c>
      <c r="B13" s="17" t="n">
        <v>3602</v>
      </c>
      <c r="C13" s="18">
        <f>(3155.0/B13*100)</f>
        <v/>
      </c>
      <c r="D13" s="19" t="n">
        <v>447</v>
      </c>
      <c r="E13" s="18" t="n">
        <v>40.58347101</v>
      </c>
      <c r="F13" s="20" t="n">
        <v>2.54811974</v>
      </c>
      <c r="G13" s="18" t="n">
        <v>58.42373139</v>
      </c>
      <c r="H13" s="20" t="n">
        <v>2.60320045</v>
      </c>
      <c r="I13" s="18" t="s">
        <v>349</v>
      </c>
      <c r="J13" s="20" t="s">
        <v>349</v>
      </c>
      <c r="K13" s="18" t="n">
        <v>0.87341594</v>
      </c>
      <c r="L13" s="20" t="n">
        <v>0.56117192</v>
      </c>
      <c r="M13" s="18" t="n">
        <v>0</v>
      </c>
      <c r="N13" s="20" t="n">
        <v>0</v>
      </c>
      <c r="O13" s="18" t="n">
        <v>0</v>
      </c>
      <c r="P13" s="20" t="n">
        <v>0</v>
      </c>
      <c r="Q13" s="18" t="n">
        <v>0.11938165</v>
      </c>
      <c r="R13" s="20" t="n">
        <v>0.12119679</v>
      </c>
    </row>
    <row r="14" spans="1:18">
      <c r="A14" s="15" t="s">
        <v>356</v>
      </c>
      <c r="B14" s="17" t="n">
        <v>2788</v>
      </c>
      <c r="C14" s="18">
        <f>(2425.0/B14*100)</f>
        <v/>
      </c>
      <c r="D14" s="19" t="n">
        <v>363</v>
      </c>
      <c r="E14" s="18" t="n">
        <v>50.88980982</v>
      </c>
      <c r="F14" s="20" t="n">
        <v>3.19009521</v>
      </c>
      <c r="G14" s="18" t="n">
        <v>49.11019018</v>
      </c>
      <c r="H14" s="20" t="n">
        <v>3.19009521</v>
      </c>
      <c r="I14" s="18" t="s">
        <v>349</v>
      </c>
      <c r="J14" s="20" t="s">
        <v>349</v>
      </c>
      <c r="K14" s="18" t="n">
        <v>0</v>
      </c>
      <c r="L14" s="20" t="n">
        <v>0</v>
      </c>
      <c r="M14" s="18" t="n">
        <v>0</v>
      </c>
      <c r="N14" s="20" t="n">
        <v>0</v>
      </c>
      <c r="O14" s="18" t="n">
        <v>0</v>
      </c>
      <c r="P14" s="20" t="n">
        <v>0</v>
      </c>
      <c r="Q14" s="18" t="n">
        <v>0</v>
      </c>
      <c r="R14" s="20" t="n">
        <v>0</v>
      </c>
    </row>
    <row r="15" spans="1:18">
      <c r="A15" s="15" t="s">
        <v>357</v>
      </c>
      <c r="B15" s="17" t="n">
        <v>2863</v>
      </c>
      <c r="C15" s="18">
        <f>(2513.0/B15*100)</f>
        <v/>
      </c>
      <c r="D15" s="19" t="n">
        <v>350</v>
      </c>
      <c r="E15" s="18" t="n">
        <v>50.36912863</v>
      </c>
      <c r="F15" s="20" t="n">
        <v>2.54066258</v>
      </c>
      <c r="G15" s="18" t="n">
        <v>49.63087137</v>
      </c>
      <c r="H15" s="20" t="n">
        <v>2.54066258</v>
      </c>
      <c r="I15" s="18" t="s">
        <v>349</v>
      </c>
      <c r="J15" s="20" t="s">
        <v>349</v>
      </c>
      <c r="K15" s="18" t="n">
        <v>0</v>
      </c>
      <c r="L15" s="20" t="n">
        <v>0</v>
      </c>
      <c r="M15" s="18" t="n">
        <v>0</v>
      </c>
      <c r="N15" s="20" t="n">
        <v>0</v>
      </c>
      <c r="O15" s="18" t="n">
        <v>0</v>
      </c>
      <c r="P15" s="20" t="n">
        <v>0</v>
      </c>
      <c r="Q15" s="18" t="n">
        <v>0</v>
      </c>
      <c r="R15" s="20" t="n">
        <v>0</v>
      </c>
    </row>
    <row r="16" spans="1:18">
      <c r="A16" s="15" t="s">
        <v>358</v>
      </c>
      <c r="B16" s="17" t="n">
        <v>3111</v>
      </c>
      <c r="C16" s="18">
        <f>(2742.0/B16*100)</f>
        <v/>
      </c>
      <c r="D16" s="19" t="n">
        <v>369</v>
      </c>
      <c r="E16" s="18" t="n">
        <v>48.83277054</v>
      </c>
      <c r="F16" s="20" t="n">
        <v>2.71671314</v>
      </c>
      <c r="G16" s="18" t="n">
        <v>49.89658798</v>
      </c>
      <c r="H16" s="20" t="n">
        <v>2.69256467</v>
      </c>
      <c r="I16" s="18" t="s">
        <v>349</v>
      </c>
      <c r="J16" s="20" t="s">
        <v>349</v>
      </c>
      <c r="K16" s="18" t="n">
        <v>0.52244649</v>
      </c>
      <c r="L16" s="20" t="n">
        <v>0.31638679</v>
      </c>
      <c r="M16" s="18" t="n">
        <v>0</v>
      </c>
      <c r="N16" s="20" t="n">
        <v>0</v>
      </c>
      <c r="O16" s="18" t="n">
        <v>0</v>
      </c>
      <c r="P16" s="20" t="n">
        <v>0</v>
      </c>
      <c r="Q16" s="18" t="n">
        <v>0.74819499</v>
      </c>
      <c r="R16" s="20" t="n">
        <v>0.57479972</v>
      </c>
    </row>
    <row r="17" spans="1:18">
      <c r="A17" s="15" t="s">
        <v>359</v>
      </c>
      <c r="B17" s="17" t="n">
        <v>3197</v>
      </c>
      <c r="C17" s="18">
        <f>(2819.0/B17*100)</f>
        <v/>
      </c>
      <c r="D17" s="19" t="n">
        <v>378</v>
      </c>
      <c r="E17" s="18" t="n">
        <v>55.8855828</v>
      </c>
      <c r="F17" s="20" t="n">
        <v>2.46292966</v>
      </c>
      <c r="G17" s="18" t="n">
        <v>43.75596157</v>
      </c>
      <c r="H17" s="20" t="n">
        <v>2.4592759</v>
      </c>
      <c r="I17" s="18" t="s">
        <v>349</v>
      </c>
      <c r="J17" s="20" t="s">
        <v>349</v>
      </c>
      <c r="K17" s="18" t="n">
        <v>0</v>
      </c>
      <c r="L17" s="20" t="n">
        <v>0</v>
      </c>
      <c r="M17" s="18" t="n">
        <v>0</v>
      </c>
      <c r="N17" s="20" t="n">
        <v>0</v>
      </c>
      <c r="O17" s="18" t="n">
        <v>0</v>
      </c>
      <c r="P17" s="20" t="n">
        <v>0</v>
      </c>
      <c r="Q17" s="18" t="n">
        <v>0.35845563</v>
      </c>
      <c r="R17" s="20" t="n">
        <v>0.38876571</v>
      </c>
    </row>
    <row r="18" spans="1:18">
      <c r="A18" s="15" t="s">
        <v>360</v>
      </c>
      <c r="B18" s="17" t="n">
        <v>2706</v>
      </c>
      <c r="C18" s="18">
        <f>(2364.0/B18*100)</f>
        <v/>
      </c>
      <c r="D18" s="19" t="n">
        <v>342</v>
      </c>
      <c r="E18" s="18" t="n">
        <v>54.82340557</v>
      </c>
      <c r="F18" s="20" t="n">
        <v>3.08393735</v>
      </c>
      <c r="G18" s="18" t="n">
        <v>44.56720289</v>
      </c>
      <c r="H18" s="20" t="n">
        <v>3.03432809</v>
      </c>
      <c r="I18" s="18" t="s">
        <v>349</v>
      </c>
      <c r="J18" s="20" t="s">
        <v>349</v>
      </c>
      <c r="K18" s="18" t="n">
        <v>0</v>
      </c>
      <c r="L18" s="20" t="n">
        <v>0</v>
      </c>
      <c r="M18" s="18" t="n">
        <v>0</v>
      </c>
      <c r="N18" s="20" t="n">
        <v>0</v>
      </c>
      <c r="O18" s="18" t="n">
        <v>0</v>
      </c>
      <c r="P18" s="20" t="n">
        <v>0</v>
      </c>
      <c r="Q18" s="18" t="n">
        <v>0.60939154</v>
      </c>
      <c r="R18" s="20" t="n">
        <v>0.42298203</v>
      </c>
    </row>
    <row r="19" spans="1:18">
      <c r="A19" s="15" t="s">
        <v>361</v>
      </c>
      <c r="B19" s="17" t="n">
        <v>2850</v>
      </c>
      <c r="C19" s="18">
        <f>(2492.0/B19*100)</f>
        <v/>
      </c>
      <c r="D19" s="19" t="n">
        <v>358</v>
      </c>
      <c r="E19" s="18" t="n">
        <v>53.64040483</v>
      </c>
      <c r="F19" s="20" t="n">
        <v>2.55070596</v>
      </c>
      <c r="G19" s="18" t="n">
        <v>46.06557279</v>
      </c>
      <c r="H19" s="20" t="n">
        <v>2.51338125</v>
      </c>
      <c r="I19" s="18" t="s">
        <v>349</v>
      </c>
      <c r="J19" s="20" t="s">
        <v>349</v>
      </c>
      <c r="K19" s="18" t="n">
        <v>0.29402238</v>
      </c>
      <c r="L19" s="20" t="n">
        <v>0.29346062</v>
      </c>
      <c r="M19" s="18" t="n">
        <v>0</v>
      </c>
      <c r="N19" s="20" t="n">
        <v>0</v>
      </c>
      <c r="O19" s="18" t="n">
        <v>0</v>
      </c>
      <c r="P19" s="20" t="n">
        <v>0</v>
      </c>
      <c r="Q19" s="18" t="n">
        <v>0</v>
      </c>
      <c r="R19" s="20" t="n">
        <v>0</v>
      </c>
    </row>
    <row r="20" spans="1:18">
      <c r="A20" s="15" t="s">
        <v>362</v>
      </c>
      <c r="B20" s="17" t="n">
        <v>1741</v>
      </c>
      <c r="C20" s="18">
        <f>(1535.0/B20*100)</f>
        <v/>
      </c>
      <c r="D20" s="19" t="n">
        <v>206</v>
      </c>
      <c r="E20" s="18" t="n">
        <v>62.96225762</v>
      </c>
      <c r="F20" s="20" t="n">
        <v>3.54428562</v>
      </c>
      <c r="G20" s="18" t="n">
        <v>35.63380628</v>
      </c>
      <c r="H20" s="20" t="n">
        <v>3.6469543</v>
      </c>
      <c r="I20" s="18" t="s">
        <v>349</v>
      </c>
      <c r="J20" s="20" t="s">
        <v>349</v>
      </c>
      <c r="K20" s="18" t="n">
        <v>0.94039911</v>
      </c>
      <c r="L20" s="20" t="n">
        <v>0.67020933</v>
      </c>
      <c r="M20" s="18" t="n">
        <v>0</v>
      </c>
      <c r="N20" s="20" t="n">
        <v>0</v>
      </c>
      <c r="O20" s="18" t="n">
        <v>0</v>
      </c>
      <c r="P20" s="20" t="n">
        <v>0</v>
      </c>
      <c r="Q20" s="18" t="n">
        <v>0.46353699</v>
      </c>
      <c r="R20" s="20" t="n">
        <v>0.46507999</v>
      </c>
    </row>
    <row r="21" spans="1:18">
      <c r="A21" s="15" t="s">
        <v>363</v>
      </c>
      <c r="B21" s="17" t="n">
        <v>2833</v>
      </c>
      <c r="C21" s="18">
        <f>(2360.0/B21*100)</f>
        <v/>
      </c>
      <c r="D21" s="19" t="n">
        <v>473</v>
      </c>
      <c r="E21" s="18" t="n">
        <v>41.41430484</v>
      </c>
      <c r="F21" s="20" t="n">
        <v>2.20696587</v>
      </c>
      <c r="G21" s="18" t="n">
        <v>58.06611958</v>
      </c>
      <c r="H21" s="20" t="n">
        <v>2.18256463</v>
      </c>
      <c r="I21" s="18" t="s">
        <v>349</v>
      </c>
      <c r="J21" s="20" t="s">
        <v>349</v>
      </c>
      <c r="K21" s="18" t="n">
        <v>0</v>
      </c>
      <c r="L21" s="20" t="n">
        <v>0</v>
      </c>
      <c r="M21" s="18" t="n">
        <v>0</v>
      </c>
      <c r="N21" s="20" t="n">
        <v>0</v>
      </c>
      <c r="O21" s="18" t="n">
        <v>0</v>
      </c>
      <c r="P21" s="20" t="n">
        <v>0</v>
      </c>
      <c r="Q21" s="18" t="n">
        <v>0.51957558</v>
      </c>
      <c r="R21" s="20" t="n">
        <v>0.31763058</v>
      </c>
    </row>
    <row r="22" spans="1:18">
      <c r="A22" s="15" t="s">
        <v>364</v>
      </c>
      <c r="B22" s="17" t="n">
        <v>3667</v>
      </c>
      <c r="C22" s="18">
        <f>(3199.0/B22*100)</f>
        <v/>
      </c>
      <c r="D22" s="19" t="n">
        <v>468</v>
      </c>
      <c r="E22" s="18" t="n">
        <v>69.68464427000001</v>
      </c>
      <c r="F22" s="20" t="n">
        <v>2.56442731</v>
      </c>
      <c r="G22" s="18" t="n">
        <v>29.33657481</v>
      </c>
      <c r="H22" s="20" t="n">
        <v>2.40102231</v>
      </c>
      <c r="I22" s="18" t="s">
        <v>349</v>
      </c>
      <c r="J22" s="20" t="s">
        <v>349</v>
      </c>
      <c r="K22" s="18" t="n">
        <v>0.56265579</v>
      </c>
      <c r="L22" s="20" t="n">
        <v>0.32685703</v>
      </c>
      <c r="M22" s="18" t="n">
        <v>0</v>
      </c>
      <c r="N22" s="20" t="n">
        <v>0</v>
      </c>
      <c r="O22" s="18" t="n">
        <v>0</v>
      </c>
      <c r="P22" s="20" t="n">
        <v>0</v>
      </c>
      <c r="Q22" s="18" t="n">
        <v>0.41612512</v>
      </c>
      <c r="R22" s="20" t="n">
        <v>0.29497523</v>
      </c>
    </row>
    <row r="23" spans="1:18">
      <c r="A23" s="15" t="s">
        <v>365</v>
      </c>
      <c r="B23" s="17" t="n">
        <v>5792</v>
      </c>
      <c r="C23" s="18">
        <f>(5091.0/B23*100)</f>
        <v/>
      </c>
      <c r="D23" s="19" t="n">
        <v>701</v>
      </c>
      <c r="E23" s="18" t="n">
        <v>56.0867677</v>
      </c>
      <c r="F23" s="20" t="n">
        <v>3.07138056</v>
      </c>
      <c r="G23" s="18" t="n">
        <v>43.33425793</v>
      </c>
      <c r="H23" s="20" t="n">
        <v>3.05227513</v>
      </c>
      <c r="I23" s="18" t="s">
        <v>349</v>
      </c>
      <c r="J23" s="20" t="s">
        <v>349</v>
      </c>
      <c r="K23" s="18" t="n">
        <v>0.1731267</v>
      </c>
      <c r="L23" s="20" t="n">
        <v>0.16797691</v>
      </c>
      <c r="M23" s="18" t="n">
        <v>0</v>
      </c>
      <c r="N23" s="20" t="n">
        <v>0</v>
      </c>
      <c r="O23" s="18" t="n">
        <v>0</v>
      </c>
      <c r="P23" s="20" t="n">
        <v>0</v>
      </c>
      <c r="Q23" s="18" t="n">
        <v>0.40584767</v>
      </c>
      <c r="R23" s="20" t="n">
        <v>0.40759379</v>
      </c>
    </row>
    <row r="24" spans="1:18">
      <c r="A24" s="15" t="s">
        <v>366</v>
      </c>
      <c r="B24" s="17" t="n">
        <v>3309</v>
      </c>
      <c r="C24" s="18">
        <f>(2903.0/B24*100)</f>
        <v/>
      </c>
      <c r="D24" s="19" t="n">
        <v>406</v>
      </c>
      <c r="E24" s="18" t="n">
        <v>62.73136589</v>
      </c>
      <c r="F24" s="20" t="n">
        <v>2.59916905</v>
      </c>
      <c r="G24" s="18" t="n">
        <v>36.98039089</v>
      </c>
      <c r="H24" s="20" t="n">
        <v>2.60547541</v>
      </c>
      <c r="I24" s="18" t="s">
        <v>349</v>
      </c>
      <c r="J24" s="20" t="s">
        <v>349</v>
      </c>
      <c r="K24" s="18" t="n">
        <v>0</v>
      </c>
      <c r="L24" s="20" t="n">
        <v>0</v>
      </c>
      <c r="M24" s="18" t="n">
        <v>0</v>
      </c>
      <c r="N24" s="20" t="n">
        <v>0</v>
      </c>
      <c r="O24" s="18" t="n">
        <v>0</v>
      </c>
      <c r="P24" s="20" t="n">
        <v>0</v>
      </c>
      <c r="Q24" s="18" t="n">
        <v>0.28824322</v>
      </c>
      <c r="R24" s="20" t="n">
        <v>0.28927292</v>
      </c>
    </row>
    <row r="25" spans="1:18">
      <c r="A25" s="15" t="s">
        <v>367</v>
      </c>
      <c r="B25" s="17" t="n">
        <v>2669</v>
      </c>
      <c r="C25" s="18">
        <f>(2330.0/B25*100)</f>
        <v/>
      </c>
      <c r="D25" s="19" t="n">
        <v>339</v>
      </c>
      <c r="E25" s="18" t="n">
        <v>78.62755387</v>
      </c>
      <c r="F25" s="20" t="n">
        <v>1.74766781</v>
      </c>
      <c r="G25" s="18" t="n">
        <v>21.06604939</v>
      </c>
      <c r="H25" s="20" t="n">
        <v>1.79185067</v>
      </c>
      <c r="I25" s="18" t="s">
        <v>349</v>
      </c>
      <c r="J25" s="20" t="s">
        <v>349</v>
      </c>
      <c r="K25" s="18" t="n">
        <v>0.30639674</v>
      </c>
      <c r="L25" s="20" t="n">
        <v>0.30463023</v>
      </c>
      <c r="M25" s="18" t="n">
        <v>0</v>
      </c>
      <c r="N25" s="20" t="n">
        <v>0</v>
      </c>
      <c r="O25" s="18" t="n">
        <v>0</v>
      </c>
      <c r="P25" s="20" t="n">
        <v>0</v>
      </c>
      <c r="Q25" s="18" t="n">
        <v>0</v>
      </c>
      <c r="R25" s="20" t="n">
        <v>0</v>
      </c>
    </row>
    <row r="26" spans="1:18">
      <c r="A26" s="15" t="s">
        <v>368</v>
      </c>
      <c r="B26" s="17" t="n">
        <v>2419</v>
      </c>
      <c r="C26" s="18">
        <f>(2130.0/B26*100)</f>
        <v/>
      </c>
      <c r="D26" s="19" t="n">
        <v>289</v>
      </c>
      <c r="E26" s="18" t="n">
        <v>56.87792192</v>
      </c>
      <c r="F26" s="20" t="n">
        <v>2.93993517</v>
      </c>
      <c r="G26" s="18" t="n">
        <v>43.12207808</v>
      </c>
      <c r="H26" s="20" t="n">
        <v>2.93993517</v>
      </c>
      <c r="I26" s="18" t="s">
        <v>349</v>
      </c>
      <c r="J26" s="20" t="s">
        <v>349</v>
      </c>
      <c r="K26" s="18" t="n">
        <v>0</v>
      </c>
      <c r="L26" s="20" t="n">
        <v>0</v>
      </c>
      <c r="M26" s="18" t="n">
        <v>0</v>
      </c>
      <c r="N26" s="20" t="n">
        <v>0</v>
      </c>
      <c r="O26" s="18" t="n">
        <v>0</v>
      </c>
      <c r="P26" s="20" t="n">
        <v>0</v>
      </c>
      <c r="Q26" s="18" t="n">
        <v>0</v>
      </c>
      <c r="R26" s="20" t="n">
        <v>0</v>
      </c>
    </row>
    <row r="27" spans="1:18">
      <c r="A27" s="15" t="s">
        <v>369</v>
      </c>
      <c r="B27" s="17" t="n">
        <v>2683</v>
      </c>
      <c r="C27" s="18">
        <f>(2356.0/B27*100)</f>
        <v/>
      </c>
      <c r="D27" s="19" t="n">
        <v>327</v>
      </c>
      <c r="E27" s="18" t="n">
        <v>56.52090289</v>
      </c>
      <c r="F27" s="20" t="n">
        <v>2.79511991</v>
      </c>
      <c r="G27" s="18" t="n">
        <v>42.86409571</v>
      </c>
      <c r="H27" s="20" t="n">
        <v>2.80166442</v>
      </c>
      <c r="I27" s="18" t="s">
        <v>349</v>
      </c>
      <c r="J27" s="20" t="s">
        <v>349</v>
      </c>
      <c r="K27" s="18" t="n">
        <v>0</v>
      </c>
      <c r="L27" s="20" t="n">
        <v>0</v>
      </c>
      <c r="M27" s="18" t="n">
        <v>0</v>
      </c>
      <c r="N27" s="20" t="n">
        <v>0</v>
      </c>
      <c r="O27" s="18" t="n">
        <v>0</v>
      </c>
      <c r="P27" s="20" t="n">
        <v>0</v>
      </c>
      <c r="Q27" s="18" t="n">
        <v>0.6150014</v>
      </c>
      <c r="R27" s="20" t="n">
        <v>0.43114068</v>
      </c>
    </row>
    <row r="28" spans="1:18">
      <c r="A28" s="15" t="s">
        <v>370</v>
      </c>
      <c r="B28" s="17" t="n">
        <v>3803</v>
      </c>
      <c r="C28" s="18">
        <f>(3357.0/B28*100)</f>
        <v/>
      </c>
      <c r="D28" s="19" t="n">
        <v>446</v>
      </c>
      <c r="E28" s="18" t="n">
        <v>77.69930456</v>
      </c>
      <c r="F28" s="20" t="n">
        <v>1.96537073</v>
      </c>
      <c r="G28" s="18" t="n">
        <v>21.38972184</v>
      </c>
      <c r="H28" s="20" t="n">
        <v>1.9213015</v>
      </c>
      <c r="I28" s="18" t="s">
        <v>349</v>
      </c>
      <c r="J28" s="20" t="s">
        <v>349</v>
      </c>
      <c r="K28" s="18" t="n">
        <v>0.6630319</v>
      </c>
      <c r="L28" s="20" t="n">
        <v>0.47266035</v>
      </c>
      <c r="M28" s="18" t="n">
        <v>0</v>
      </c>
      <c r="N28" s="20" t="n">
        <v>0</v>
      </c>
      <c r="O28" s="18" t="n">
        <v>0</v>
      </c>
      <c r="P28" s="20" t="n">
        <v>0</v>
      </c>
      <c r="Q28" s="18" t="n">
        <v>0.2479417</v>
      </c>
      <c r="R28" s="20" t="n">
        <v>0.24837146</v>
      </c>
    </row>
    <row r="29" spans="1:18">
      <c r="A29" s="15" t="s">
        <v>371</v>
      </c>
      <c r="B29" s="17" t="n">
        <v>2700</v>
      </c>
      <c r="C29" s="18">
        <f>(2358.0/B29*100)</f>
        <v/>
      </c>
      <c r="D29" s="19" t="n">
        <v>342</v>
      </c>
      <c r="E29" s="18" t="n">
        <v>45.3951919</v>
      </c>
      <c r="F29" s="20" t="n">
        <v>2.61616964</v>
      </c>
      <c r="G29" s="18" t="n">
        <v>53.80224009</v>
      </c>
      <c r="H29" s="20" t="n">
        <v>2.58097001</v>
      </c>
      <c r="I29" s="18" t="s">
        <v>349</v>
      </c>
      <c r="J29" s="20" t="s">
        <v>349</v>
      </c>
      <c r="K29" s="18" t="n">
        <v>0.38060431</v>
      </c>
      <c r="L29" s="20" t="n">
        <v>0.29319164</v>
      </c>
      <c r="M29" s="18" t="n">
        <v>0</v>
      </c>
      <c r="N29" s="20" t="n">
        <v>0</v>
      </c>
      <c r="O29" s="18" t="n">
        <v>0</v>
      </c>
      <c r="P29" s="20" t="n">
        <v>0</v>
      </c>
      <c r="Q29" s="18" t="n">
        <v>0.4219637</v>
      </c>
      <c r="R29" s="20" t="n">
        <v>0.62238598</v>
      </c>
    </row>
    <row r="30" spans="1:18">
      <c r="A30" s="15" t="s">
        <v>372</v>
      </c>
      <c r="B30" s="17" t="n">
        <v>2257</v>
      </c>
      <c r="C30" s="18">
        <f>(1972.0/B30*100)</f>
        <v/>
      </c>
      <c r="D30" s="19" t="n">
        <v>285</v>
      </c>
      <c r="E30" s="18" t="n">
        <v>39.79986635</v>
      </c>
      <c r="F30" s="20" t="n">
        <v>2.74674614</v>
      </c>
      <c r="G30" s="18" t="n">
        <v>60.20013365</v>
      </c>
      <c r="H30" s="20" t="n">
        <v>2.74674614</v>
      </c>
      <c r="I30" s="18" t="s">
        <v>349</v>
      </c>
      <c r="J30" s="20" t="s">
        <v>349</v>
      </c>
      <c r="K30" s="18" t="n">
        <v>0</v>
      </c>
      <c r="L30" s="20" t="n">
        <v>0</v>
      </c>
      <c r="M30" s="18" t="n">
        <v>0</v>
      </c>
      <c r="N30" s="20" t="n">
        <v>0</v>
      </c>
      <c r="O30" s="18" t="n">
        <v>0</v>
      </c>
      <c r="P30" s="20" t="n">
        <v>0</v>
      </c>
      <c r="Q30" s="18" t="n">
        <v>0</v>
      </c>
      <c r="R30" s="20" t="n">
        <v>0</v>
      </c>
    </row>
    <row r="31" spans="1:18">
      <c r="A31" s="15" t="s">
        <v>373</v>
      </c>
      <c r="B31" s="17" t="n">
        <v>2706</v>
      </c>
      <c r="C31" s="18">
        <f>(2386.0/B31*100)</f>
        <v/>
      </c>
      <c r="D31" s="19" t="n">
        <v>320</v>
      </c>
      <c r="E31" s="18" t="n">
        <v>46.35726174</v>
      </c>
      <c r="F31" s="20" t="n">
        <v>2.42708079</v>
      </c>
      <c r="G31" s="18" t="n">
        <v>53.31837467</v>
      </c>
      <c r="H31" s="20" t="n">
        <v>2.42587237</v>
      </c>
      <c r="I31" s="18" t="s">
        <v>349</v>
      </c>
      <c r="J31" s="20" t="s">
        <v>349</v>
      </c>
      <c r="K31" s="18" t="n">
        <v>0</v>
      </c>
      <c r="L31" s="20" t="n">
        <v>0</v>
      </c>
      <c r="M31" s="18" t="n">
        <v>0</v>
      </c>
      <c r="N31" s="20" t="n">
        <v>0</v>
      </c>
      <c r="O31" s="18" t="n">
        <v>0</v>
      </c>
      <c r="P31" s="20" t="n">
        <v>0</v>
      </c>
      <c r="Q31" s="18" t="n">
        <v>0.32436359</v>
      </c>
      <c r="R31" s="20" t="n">
        <v>0.31824247</v>
      </c>
    </row>
    <row r="32" spans="1:18">
      <c r="A32" s="15" t="s">
        <v>374</v>
      </c>
      <c r="B32" s="17" t="n">
        <v>2209</v>
      </c>
      <c r="C32" s="18">
        <f>(1839.0/B32*100)</f>
        <v/>
      </c>
      <c r="D32" s="19" t="n">
        <v>370</v>
      </c>
      <c r="E32" s="18" t="n">
        <v>48.45748761</v>
      </c>
      <c r="F32" s="20" t="n">
        <v>2.36955681</v>
      </c>
      <c r="G32" s="18" t="n">
        <v>51.28572417</v>
      </c>
      <c r="H32" s="20" t="n">
        <v>2.30773044</v>
      </c>
      <c r="I32" s="18" t="s">
        <v>349</v>
      </c>
      <c r="J32" s="20" t="s">
        <v>349</v>
      </c>
      <c r="K32" s="18" t="n">
        <v>0.25678822</v>
      </c>
      <c r="L32" s="20" t="n">
        <v>0.26901858</v>
      </c>
      <c r="M32" s="18" t="n">
        <v>0</v>
      </c>
      <c r="N32" s="20" t="n">
        <v>0</v>
      </c>
      <c r="O32" s="18" t="n">
        <v>0</v>
      </c>
      <c r="P32" s="20" t="n">
        <v>0</v>
      </c>
      <c r="Q32" s="18" t="n">
        <v>0</v>
      </c>
      <c r="R32" s="20" t="n">
        <v>0</v>
      </c>
    </row>
    <row r="33" spans="1:18">
      <c r="A33" s="15" t="s">
        <v>375</v>
      </c>
      <c r="B33" s="17" t="n">
        <v>3651</v>
      </c>
      <c r="C33" s="18">
        <f>(3205.0/B33*100)</f>
        <v/>
      </c>
      <c r="D33" s="19" t="n">
        <v>446</v>
      </c>
      <c r="E33" s="18" t="n">
        <v>51.26108638</v>
      </c>
      <c r="F33" s="20" t="n">
        <v>2.5613588</v>
      </c>
      <c r="G33" s="18" t="n">
        <v>48.73891362</v>
      </c>
      <c r="H33" s="20" t="n">
        <v>2.5613588</v>
      </c>
      <c r="I33" s="18" t="s">
        <v>349</v>
      </c>
      <c r="J33" s="20" t="s">
        <v>349</v>
      </c>
      <c r="K33" s="18" t="n">
        <v>0</v>
      </c>
      <c r="L33" s="20" t="n">
        <v>0</v>
      </c>
      <c r="M33" s="18" t="n">
        <v>0</v>
      </c>
      <c r="N33" s="20" t="n">
        <v>0</v>
      </c>
      <c r="O33" s="18" t="n">
        <v>0</v>
      </c>
      <c r="P33" s="20" t="n">
        <v>0</v>
      </c>
      <c r="Q33" s="18" t="n">
        <v>0</v>
      </c>
      <c r="R33" s="20" t="n">
        <v>0</v>
      </c>
    </row>
    <row r="34" spans="1:18">
      <c r="A34" s="15" t="s">
        <v>376</v>
      </c>
      <c r="B34" s="17" t="n">
        <v>3035</v>
      </c>
      <c r="C34" s="18">
        <f>(2670.0/B34*100)</f>
        <v/>
      </c>
      <c r="D34" s="19" t="n">
        <v>365</v>
      </c>
      <c r="E34" s="18" t="n">
        <v>56.46934009</v>
      </c>
      <c r="F34" s="20" t="n">
        <v>3.09615125</v>
      </c>
      <c r="G34" s="18" t="n">
        <v>43.53065991</v>
      </c>
      <c r="H34" s="20" t="n">
        <v>3.09615125</v>
      </c>
      <c r="I34" s="18" t="s">
        <v>349</v>
      </c>
      <c r="J34" s="20" t="s">
        <v>349</v>
      </c>
      <c r="K34" s="18" t="n">
        <v>0</v>
      </c>
      <c r="L34" s="20" t="n">
        <v>0</v>
      </c>
      <c r="M34" s="18" t="n">
        <v>0</v>
      </c>
      <c r="N34" s="20" t="n">
        <v>0</v>
      </c>
      <c r="O34" s="18" t="n">
        <v>0</v>
      </c>
      <c r="P34" s="20" t="n">
        <v>0</v>
      </c>
      <c r="Q34" s="18" t="n">
        <v>0</v>
      </c>
      <c r="R34" s="20" t="n">
        <v>0</v>
      </c>
    </row>
    <row r="35" spans="1:18">
      <c r="A35" s="15" t="s">
        <v>377</v>
      </c>
      <c r="B35" s="17" t="n">
        <v>2901</v>
      </c>
      <c r="C35" s="18">
        <f>(2520.0/B35*100)</f>
        <v/>
      </c>
      <c r="D35" s="19" t="n">
        <v>381</v>
      </c>
      <c r="E35" s="18" t="n">
        <v>48.99191715</v>
      </c>
      <c r="F35" s="20" t="n">
        <v>2.83806701</v>
      </c>
      <c r="G35" s="18" t="n">
        <v>50.9091763</v>
      </c>
      <c r="H35" s="20" t="n">
        <v>2.81727485</v>
      </c>
      <c r="I35" s="18" t="s">
        <v>349</v>
      </c>
      <c r="J35" s="20" t="s">
        <v>349</v>
      </c>
      <c r="K35" s="18" t="n">
        <v>0.09890655</v>
      </c>
      <c r="L35" s="20" t="n">
        <v>0.09973542000000001</v>
      </c>
      <c r="M35" s="18" t="n">
        <v>0</v>
      </c>
      <c r="N35" s="20" t="n">
        <v>0</v>
      </c>
      <c r="O35" s="18" t="n">
        <v>0</v>
      </c>
      <c r="P35" s="20" t="n">
        <v>0</v>
      </c>
      <c r="Q35" s="18" t="n">
        <v>0</v>
      </c>
      <c r="R35" s="20" t="n">
        <v>0</v>
      </c>
    </row>
    <row r="36" spans="1:18">
      <c r="A36" s="15" t="s">
        <v>378</v>
      </c>
      <c r="B36" s="17" t="n">
        <v>3404</v>
      </c>
      <c r="C36" s="18">
        <f>(2977.0/B36*100)</f>
        <v/>
      </c>
      <c r="D36" s="19" t="n">
        <v>427</v>
      </c>
      <c r="E36" s="18" t="n">
        <v>60.1035999</v>
      </c>
      <c r="F36" s="20" t="n">
        <v>2.46969961</v>
      </c>
      <c r="G36" s="18" t="n">
        <v>39.51167208</v>
      </c>
      <c r="H36" s="20" t="n">
        <v>2.47132859</v>
      </c>
      <c r="I36" s="18" t="s">
        <v>349</v>
      </c>
      <c r="J36" s="20" t="s">
        <v>349</v>
      </c>
      <c r="K36" s="18" t="n">
        <v>0.38472802</v>
      </c>
      <c r="L36" s="20" t="n">
        <v>0.34334563</v>
      </c>
      <c r="M36" s="18" t="n">
        <v>0</v>
      </c>
      <c r="N36" s="20" t="n">
        <v>0</v>
      </c>
      <c r="O36" s="18" t="n">
        <v>0</v>
      </c>
      <c r="P36" s="20" t="n">
        <v>0</v>
      </c>
      <c r="Q36" s="18" t="n">
        <v>0</v>
      </c>
      <c r="R36" s="20" t="n">
        <v>0</v>
      </c>
    </row>
    <row r="37" spans="1:18">
      <c r="A37" s="15" t="s">
        <v>379</v>
      </c>
      <c r="B37" s="17" t="n">
        <v>2731</v>
      </c>
      <c r="C37" s="18">
        <f>(2383.0/B37*100)</f>
        <v/>
      </c>
      <c r="D37" s="19" t="n">
        <v>348</v>
      </c>
      <c r="E37" s="18" t="n">
        <v>49.85313225</v>
      </c>
      <c r="F37" s="20" t="n">
        <v>2.98954881</v>
      </c>
      <c r="G37" s="18" t="n">
        <v>49.56887606</v>
      </c>
      <c r="H37" s="20" t="n">
        <v>2.96715648</v>
      </c>
      <c r="I37" s="18" t="s">
        <v>349</v>
      </c>
      <c r="J37" s="20" t="s">
        <v>349</v>
      </c>
      <c r="K37" s="18" t="n">
        <v>0</v>
      </c>
      <c r="L37" s="20" t="n">
        <v>0</v>
      </c>
      <c r="M37" s="18" t="n">
        <v>0</v>
      </c>
      <c r="N37" s="20" t="n">
        <v>0</v>
      </c>
      <c r="O37" s="18" t="n">
        <v>0</v>
      </c>
      <c r="P37" s="20" t="n">
        <v>0</v>
      </c>
      <c r="Q37" s="18" t="n">
        <v>0.5779916899999999</v>
      </c>
      <c r="R37" s="20" t="n">
        <v>0.40059265</v>
      </c>
    </row>
    <row r="38" spans="1:18">
      <c r="A38" s="15" t="s">
        <v>380</v>
      </c>
      <c r="B38" s="17" t="n">
        <v>2807</v>
      </c>
      <c r="C38" s="18">
        <f>(2326.0/B38*100)</f>
        <v/>
      </c>
      <c r="D38" s="19" t="n">
        <v>481</v>
      </c>
      <c r="E38" s="18" t="n">
        <v>49.33809613</v>
      </c>
      <c r="F38" s="20" t="n">
        <v>3.3552092</v>
      </c>
      <c r="G38" s="18" t="n">
        <v>50.21523835</v>
      </c>
      <c r="H38" s="20" t="n">
        <v>3.34354013</v>
      </c>
      <c r="I38" s="18" t="s">
        <v>349</v>
      </c>
      <c r="J38" s="20" t="s">
        <v>349</v>
      </c>
      <c r="K38" s="18" t="n">
        <v>0.05897233</v>
      </c>
      <c r="L38" s="20" t="n">
        <v>0.03995043</v>
      </c>
      <c r="M38" s="18" t="n">
        <v>0</v>
      </c>
      <c r="N38" s="20" t="n">
        <v>0</v>
      </c>
      <c r="O38" s="18" t="n">
        <v>0</v>
      </c>
      <c r="P38" s="20" t="n">
        <v>0</v>
      </c>
      <c r="Q38" s="18" t="n">
        <v>0.38769319</v>
      </c>
      <c r="R38" s="20" t="n">
        <v>0.27344827</v>
      </c>
    </row>
    <row r="39" spans="1:18">
      <c r="A39" s="15" t="s">
        <v>381</v>
      </c>
      <c r="B39" s="17" t="n">
        <v>2938</v>
      </c>
      <c r="C39" s="18">
        <f>(2601.0/B39*100)</f>
        <v/>
      </c>
      <c r="D39" s="19" t="n">
        <v>337</v>
      </c>
      <c r="E39" s="18" t="n">
        <v>66.83522572</v>
      </c>
      <c r="F39" s="20" t="n">
        <v>2.50356388</v>
      </c>
      <c r="G39" s="18" t="n">
        <v>31.90675945</v>
      </c>
      <c r="H39" s="20" t="n">
        <v>2.51916102</v>
      </c>
      <c r="I39" s="18" t="s">
        <v>349</v>
      </c>
      <c r="J39" s="20" t="s">
        <v>349</v>
      </c>
      <c r="K39" s="18" t="n">
        <v>1.25801483</v>
      </c>
      <c r="L39" s="20" t="n">
        <v>0.60979012</v>
      </c>
      <c r="M39" s="18" t="n">
        <v>0</v>
      </c>
      <c r="N39" s="20" t="n">
        <v>0</v>
      </c>
      <c r="O39" s="18" t="n">
        <v>0</v>
      </c>
      <c r="P39" s="20" t="n">
        <v>0</v>
      </c>
      <c r="Q39" s="18" t="n">
        <v>0</v>
      </c>
      <c r="R39" s="20" t="n">
        <v>0</v>
      </c>
    </row>
    <row r="40" spans="1:18">
      <c r="A40" s="15" t="s">
        <v>382</v>
      </c>
      <c r="B40" s="17" t="n">
        <v>6922</v>
      </c>
      <c r="C40" s="18">
        <f>(6092.0/B40*100)</f>
        <v/>
      </c>
      <c r="D40" s="19" t="n">
        <v>830</v>
      </c>
      <c r="E40" s="18" t="n">
        <v>45.04622055</v>
      </c>
      <c r="F40" s="20" t="n">
        <v>2.78118011</v>
      </c>
      <c r="G40" s="18" t="n">
        <v>54.14847668</v>
      </c>
      <c r="H40" s="20" t="n">
        <v>2.82740401</v>
      </c>
      <c r="I40" s="18" t="s">
        <v>349</v>
      </c>
      <c r="J40" s="20" t="s">
        <v>349</v>
      </c>
      <c r="K40" s="18" t="n">
        <v>0</v>
      </c>
      <c r="L40" s="20" t="n">
        <v>0</v>
      </c>
      <c r="M40" s="18" t="n">
        <v>0</v>
      </c>
      <c r="N40" s="20" t="n">
        <v>0</v>
      </c>
      <c r="O40" s="18" t="n">
        <v>0</v>
      </c>
      <c r="P40" s="20" t="n">
        <v>0</v>
      </c>
      <c r="Q40" s="18" t="n">
        <v>0.8053027699999999</v>
      </c>
      <c r="R40" s="20" t="n">
        <v>0.5835954</v>
      </c>
    </row>
    <row r="41" spans="1:18">
      <c r="A41" s="15" t="s">
        <v>383</v>
      </c>
      <c r="B41" s="17" t="n">
        <v>2854</v>
      </c>
      <c r="C41" s="18">
        <f>(2505.0/B41*100)</f>
        <v/>
      </c>
      <c r="D41" s="19" t="n">
        <v>349</v>
      </c>
      <c r="E41" s="18" t="n">
        <v>53.33356651</v>
      </c>
      <c r="F41" s="20" t="n">
        <v>2.94705165</v>
      </c>
      <c r="G41" s="18" t="n">
        <v>46.66643349</v>
      </c>
      <c r="H41" s="20" t="n">
        <v>2.94705165</v>
      </c>
      <c r="I41" s="18" t="s">
        <v>349</v>
      </c>
      <c r="J41" s="20" t="s">
        <v>349</v>
      </c>
      <c r="K41" s="18" t="n">
        <v>0</v>
      </c>
      <c r="L41" s="20" t="n">
        <v>0</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(10723.0/B46*100)</f>
        <v/>
      </c>
      <c r="D46" s="19" t="n">
        <v>1350</v>
      </c>
      <c r="E46" s="18" t="n">
        <v>76.98620565</v>
      </c>
      <c r="F46" s="20" t="n">
        <v>1.42856974</v>
      </c>
      <c r="G46" s="18" t="n">
        <v>22.3249288</v>
      </c>
      <c r="H46" s="20" t="n">
        <v>1.48413278</v>
      </c>
      <c r="I46" s="18" t="s">
        <v>349</v>
      </c>
      <c r="J46" s="20" t="s">
        <v>349</v>
      </c>
      <c r="K46" s="18" t="n">
        <v>0.35109163</v>
      </c>
      <c r="L46" s="20" t="n">
        <v>0.23204804</v>
      </c>
      <c r="M46" s="18" t="n">
        <v>0</v>
      </c>
      <c r="N46" s="20" t="n">
        <v>0</v>
      </c>
      <c r="O46" s="18" t="n">
        <v>0</v>
      </c>
      <c r="P46" s="20" t="n">
        <v>0</v>
      </c>
      <c r="Q46" s="18" t="n">
        <v>0.33777392</v>
      </c>
      <c r="R46" s="20" t="n">
        <v>0.2124444</v>
      </c>
    </row>
    <row r="47" spans="1:18">
      <c r="A47" s="15" t="s">
        <v>389</v>
      </c>
      <c r="B47" s="17" t="n">
        <v>2823</v>
      </c>
      <c r="C47" s="18">
        <f>(2472.0/B47*100)</f>
        <v/>
      </c>
      <c r="D47" s="19" t="n">
        <v>351</v>
      </c>
      <c r="E47" s="18" t="n">
        <v>69.55001161</v>
      </c>
      <c r="F47" s="20" t="n">
        <v>2.25560141</v>
      </c>
      <c r="G47" s="18" t="n">
        <v>29.89985036</v>
      </c>
      <c r="H47" s="20" t="n">
        <v>2.25948657</v>
      </c>
      <c r="I47" s="18" t="s">
        <v>349</v>
      </c>
      <c r="J47" s="20" t="s">
        <v>349</v>
      </c>
      <c r="K47" s="18" t="n">
        <v>0</v>
      </c>
      <c r="L47" s="20" t="n">
        <v>0</v>
      </c>
      <c r="M47" s="18" t="n">
        <v>0</v>
      </c>
      <c r="N47" s="20" t="n">
        <v>0</v>
      </c>
      <c r="O47" s="18" t="n">
        <v>0</v>
      </c>
      <c r="P47" s="20" t="n">
        <v>0</v>
      </c>
      <c r="Q47" s="18" t="n">
        <v>0.5501380299999999</v>
      </c>
      <c r="R47" s="20" t="n">
        <v>0.38899665</v>
      </c>
    </row>
    <row r="48" spans="1:18">
      <c r="A48" s="15" t="s">
        <v>390</v>
      </c>
      <c r="B48" s="17" t="n">
        <v>4682</v>
      </c>
      <c r="C48" s="18">
        <f>(4108.0/B48*100)</f>
        <v/>
      </c>
      <c r="D48" s="19" t="n">
        <v>574</v>
      </c>
      <c r="E48" s="18" t="n">
        <v>52.90136488</v>
      </c>
      <c r="F48" s="20" t="n">
        <v>2.58990436</v>
      </c>
      <c r="G48" s="18" t="n">
        <v>47.09863512</v>
      </c>
      <c r="H48" s="20" t="n">
        <v>2.58990436</v>
      </c>
      <c r="I48" s="18" t="s">
        <v>349</v>
      </c>
      <c r="J48" s="20" t="s">
        <v>349</v>
      </c>
      <c r="K48" s="18" t="n">
        <v>0</v>
      </c>
      <c r="L48" s="20" t="n">
        <v>0</v>
      </c>
      <c r="M48" s="18" t="n">
        <v>0</v>
      </c>
      <c r="N48" s="20" t="n">
        <v>0</v>
      </c>
      <c r="O48" s="18" t="n">
        <v>0</v>
      </c>
      <c r="P48" s="20" t="n">
        <v>0</v>
      </c>
      <c r="Q48" s="18" t="n">
        <v>0</v>
      </c>
      <c r="R48" s="20" t="n">
        <v>0</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(5434.0/B50*100)</f>
        <v/>
      </c>
      <c r="D50" s="19" t="n">
        <v>724</v>
      </c>
      <c r="E50" s="18" t="n">
        <v>77.19140692000001</v>
      </c>
      <c r="F50" s="20" t="n">
        <v>2.24341894</v>
      </c>
      <c r="G50" s="18" t="n">
        <v>21.74167602</v>
      </c>
      <c r="H50" s="20" t="n">
        <v>2.24341318</v>
      </c>
      <c r="I50" s="18" t="s">
        <v>349</v>
      </c>
      <c r="J50" s="20" t="s">
        <v>349</v>
      </c>
      <c r="K50" s="18" t="n">
        <v>0.75596315</v>
      </c>
      <c r="L50" s="20" t="n">
        <v>0.37799216</v>
      </c>
      <c r="M50" s="18" t="n">
        <v>0</v>
      </c>
      <c r="N50" s="20" t="n">
        <v>0</v>
      </c>
      <c r="O50" s="18" t="n">
        <v>0</v>
      </c>
      <c r="P50" s="20" t="n">
        <v>0</v>
      </c>
      <c r="Q50" s="18" t="n">
        <v>0.31095391</v>
      </c>
      <c r="R50" s="20" t="n">
        <v>0.28576239</v>
      </c>
    </row>
    <row r="51" spans="1:18">
      <c r="A51" s="15" t="s">
        <v>393</v>
      </c>
      <c r="B51" s="17" t="n">
        <v>3494</v>
      </c>
      <c r="C51" s="18">
        <f>(3125.0/B51*100)</f>
        <v/>
      </c>
      <c r="D51" s="19" t="n">
        <v>369</v>
      </c>
      <c r="E51" s="18" t="n">
        <v>76.59213834000001</v>
      </c>
      <c r="F51" s="20" t="n">
        <v>2.17150673</v>
      </c>
      <c r="G51" s="18" t="n">
        <v>23.15905319</v>
      </c>
      <c r="H51" s="20" t="n">
        <v>2.16202283</v>
      </c>
      <c r="I51" s="18" t="s">
        <v>349</v>
      </c>
      <c r="J51" s="20" t="s">
        <v>349</v>
      </c>
      <c r="K51" s="18" t="n">
        <v>0</v>
      </c>
      <c r="L51" s="20" t="n">
        <v>0</v>
      </c>
      <c r="M51" s="18" t="n">
        <v>0</v>
      </c>
      <c r="N51" s="20" t="n">
        <v>0</v>
      </c>
      <c r="O51" s="18" t="n">
        <v>0</v>
      </c>
      <c r="P51" s="20" t="n">
        <v>0</v>
      </c>
      <c r="Q51" s="18" t="n">
        <v>0.24880847</v>
      </c>
      <c r="R51" s="20" t="n">
        <v>0.24981949</v>
      </c>
    </row>
    <row r="52" spans="1:18">
      <c r="A52" s="15" t="s">
        <v>394</v>
      </c>
      <c r="B52" s="17" t="n">
        <v>3013</v>
      </c>
      <c r="C52" s="18">
        <f>(2650.0/B52*100)</f>
        <v/>
      </c>
      <c r="D52" s="19" t="n">
        <v>363</v>
      </c>
      <c r="E52" s="18" t="n">
        <v>59.6398592</v>
      </c>
      <c r="F52" s="20" t="n">
        <v>2.47226187</v>
      </c>
      <c r="G52" s="18" t="n">
        <v>40.09846668</v>
      </c>
      <c r="H52" s="20" t="n">
        <v>2.41505208</v>
      </c>
      <c r="I52" s="18" t="s">
        <v>349</v>
      </c>
      <c r="J52" s="20" t="s">
        <v>349</v>
      </c>
      <c r="K52" s="18" t="n">
        <v>0</v>
      </c>
      <c r="L52" s="20" t="n">
        <v>0</v>
      </c>
      <c r="M52" s="18" t="n">
        <v>0</v>
      </c>
      <c r="N52" s="20" t="n">
        <v>0</v>
      </c>
      <c r="O52" s="18" t="n">
        <v>0</v>
      </c>
      <c r="P52" s="20" t="n">
        <v>0</v>
      </c>
      <c r="Q52" s="18" t="n">
        <v>0.26167412</v>
      </c>
      <c r="R52" s="20" t="n">
        <v>0.25825676</v>
      </c>
    </row>
    <row r="53" spans="1:18">
      <c r="A53" s="15" t="s">
        <v>395</v>
      </c>
      <c r="B53" s="17" t="n">
        <v>2760</v>
      </c>
      <c r="C53" s="18">
        <f>(2429.0/B53*100)</f>
        <v/>
      </c>
      <c r="D53" s="19" t="n">
        <v>331</v>
      </c>
      <c r="E53" s="18" t="n">
        <v>60.97382324</v>
      </c>
      <c r="F53" s="20" t="n">
        <v>2.75157357</v>
      </c>
      <c r="G53" s="18" t="n">
        <v>39.02617676</v>
      </c>
      <c r="H53" s="20" t="n">
        <v>2.75157357</v>
      </c>
      <c r="I53" s="18" t="s">
        <v>349</v>
      </c>
      <c r="J53" s="20" t="s">
        <v>349</v>
      </c>
      <c r="K53" s="18" t="n">
        <v>0</v>
      </c>
      <c r="L53" s="20" t="n">
        <v>0</v>
      </c>
      <c r="M53" s="18" t="n">
        <v>0</v>
      </c>
      <c r="N53" s="20" t="n">
        <v>0</v>
      </c>
      <c r="O53" s="18" t="n">
        <v>0</v>
      </c>
      <c r="P53" s="20" t="n">
        <v>0</v>
      </c>
      <c r="Q53" s="18" t="n">
        <v>0</v>
      </c>
      <c r="R53" s="20" t="n">
        <v>0</v>
      </c>
    </row>
    <row r="54" spans="1:18">
      <c r="A54" s="15" t="s">
        <v>396</v>
      </c>
      <c r="B54" s="17" t="n">
        <v>2474</v>
      </c>
      <c r="C54" s="18">
        <f>(2045.0/B54*100)</f>
        <v/>
      </c>
      <c r="D54" s="19" t="n">
        <v>429</v>
      </c>
      <c r="E54" s="18" t="n">
        <v>82.20767523000001</v>
      </c>
      <c r="F54" s="20" t="n">
        <v>1.99113537</v>
      </c>
      <c r="G54" s="18" t="n">
        <v>9.389553080000001</v>
      </c>
      <c r="H54" s="20" t="n">
        <v>1.48572445</v>
      </c>
      <c r="I54" s="18" t="s">
        <v>349</v>
      </c>
      <c r="J54" s="20" t="s">
        <v>349</v>
      </c>
      <c r="K54" s="18" t="n">
        <v>6.68059634</v>
      </c>
      <c r="L54" s="20" t="n">
        <v>1.20434294</v>
      </c>
      <c r="M54" s="18" t="n">
        <v>0</v>
      </c>
      <c r="N54" s="20" t="n">
        <v>0</v>
      </c>
      <c r="O54" s="18" t="n">
        <v>0</v>
      </c>
      <c r="P54" s="20" t="n">
        <v>0</v>
      </c>
      <c r="Q54" s="18" t="n">
        <v>1.72217535</v>
      </c>
      <c r="R54" s="20" t="n">
        <v>0.79398852</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52.84361958</v>
      </c>
      <c r="F56" s="20" t="n">
        <v>2.98596939</v>
      </c>
      <c r="G56" s="18" t="n">
        <v>47.15638042</v>
      </c>
      <c r="H56" s="20" t="n">
        <v>2.98596939</v>
      </c>
      <c r="I56" s="18" t="s">
        <v>349</v>
      </c>
      <c r="J56" s="20" t="s">
        <v>349</v>
      </c>
      <c r="K56" s="18" t="n">
        <v>0</v>
      </c>
      <c r="L56" s="20" t="n">
        <v>0</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(2787.0/B61*100)</f>
        <v/>
      </c>
      <c r="D61" s="19" t="n">
        <v>414</v>
      </c>
      <c r="E61" s="18" t="n">
        <v>56.414193</v>
      </c>
      <c r="F61" s="20" t="n">
        <v>2.9926861</v>
      </c>
      <c r="G61" s="18" t="n">
        <v>42.87686199</v>
      </c>
      <c r="H61" s="20" t="n">
        <v>3.07026619</v>
      </c>
      <c r="I61" s="18" t="s">
        <v>349</v>
      </c>
      <c r="J61" s="20" t="s">
        <v>349</v>
      </c>
      <c r="K61" s="18" t="n">
        <v>0.70894501</v>
      </c>
      <c r="L61" s="20" t="n">
        <v>0.69102243</v>
      </c>
      <c r="M61" s="18" t="n">
        <v>0</v>
      </c>
      <c r="N61" s="20" t="n">
        <v>0</v>
      </c>
      <c r="O61" s="18" t="n">
        <v>0</v>
      </c>
      <c r="P61" s="20" t="n">
        <v>0</v>
      </c>
      <c r="Q61" s="18" t="n">
        <v>0</v>
      </c>
      <c r="R61" s="20" t="n">
        <v>0</v>
      </c>
    </row>
    <row r="62" spans="1:18">
      <c r="A62" s="15" t="s">
        <v>404</v>
      </c>
      <c r="B62" s="17" t="n">
        <v>2230</v>
      </c>
      <c r="C62" s="18">
        <f>(1959.0/B62*100)</f>
        <v/>
      </c>
      <c r="D62" s="19" t="n">
        <v>271</v>
      </c>
      <c r="E62" s="18" t="n">
        <v>50.14422101</v>
      </c>
      <c r="F62" s="20" t="n">
        <v>3.20746929</v>
      </c>
      <c r="G62" s="18" t="n">
        <v>49.85577899</v>
      </c>
      <c r="H62" s="20" t="n">
        <v>3.20746929</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(2436.0/B66*100)</f>
        <v/>
      </c>
      <c r="D66" s="19" t="n">
        <v>335</v>
      </c>
      <c r="E66" s="18" t="n">
        <v>75.98837683000001</v>
      </c>
      <c r="F66" s="20" t="n">
        <v>2.10834143</v>
      </c>
      <c r="G66" s="18" t="n">
        <v>23.7505567</v>
      </c>
      <c r="H66" s="20" t="n">
        <v>2.1098646</v>
      </c>
      <c r="I66" s="18" t="s">
        <v>349</v>
      </c>
      <c r="J66" s="20" t="s">
        <v>349</v>
      </c>
      <c r="K66" s="18" t="n">
        <v>0.26106646</v>
      </c>
      <c r="L66" s="20" t="n">
        <v>0.26084755</v>
      </c>
      <c r="M66" s="18" t="n">
        <v>0</v>
      </c>
      <c r="N66" s="20" t="n">
        <v>0</v>
      </c>
      <c r="O66" s="18" t="n">
        <v>0</v>
      </c>
      <c r="P66" s="20" t="n">
        <v>0</v>
      </c>
      <c r="Q66" s="18" t="n">
        <v>0</v>
      </c>
      <c r="R66" s="20" t="n">
        <v>0</v>
      </c>
    </row>
    <row r="67" spans="1:18">
      <c r="A67" s="15" t="s">
        <v>409</v>
      </c>
      <c r="B67" s="17" t="n">
        <v>3460</v>
      </c>
      <c r="C67" s="18">
        <f>(3055.0/B67*100)</f>
        <v/>
      </c>
      <c r="D67" s="19" t="n">
        <v>405</v>
      </c>
      <c r="E67" s="18" t="n">
        <v>82.32469948000001</v>
      </c>
      <c r="F67" s="20" t="n">
        <v>1.95204496</v>
      </c>
      <c r="G67" s="18" t="n">
        <v>16.29279154</v>
      </c>
      <c r="H67" s="20" t="n">
        <v>1.80661649</v>
      </c>
      <c r="I67" s="18" t="s">
        <v>349</v>
      </c>
      <c r="J67" s="20" t="s">
        <v>349</v>
      </c>
      <c r="K67" s="18" t="n">
        <v>0.32016638</v>
      </c>
      <c r="L67" s="20" t="n">
        <v>0.321239</v>
      </c>
      <c r="M67" s="18" t="n">
        <v>0</v>
      </c>
      <c r="N67" s="20" t="n">
        <v>0</v>
      </c>
      <c r="O67" s="18" t="n">
        <v>0</v>
      </c>
      <c r="P67" s="20" t="n">
        <v>0</v>
      </c>
      <c r="Q67" s="18" t="n">
        <v>1.0623426</v>
      </c>
      <c r="R67" s="20" t="n">
        <v>0.55211984</v>
      </c>
    </row>
    <row r="68" spans="1:18">
      <c r="A68" s="15" t="s">
        <v>410</v>
      </c>
      <c r="B68" s="17" t="n">
        <v>6034</v>
      </c>
      <c r="C68" s="18">
        <f>(5043.0/B68*100)</f>
        <v/>
      </c>
      <c r="D68" s="19" t="n">
        <v>991</v>
      </c>
      <c r="E68" s="18" t="n">
        <v>69.85708081</v>
      </c>
      <c r="F68" s="20" t="n">
        <v>1.4001823</v>
      </c>
      <c r="G68" s="18" t="n">
        <v>28.84727656</v>
      </c>
      <c r="H68" s="20" t="n">
        <v>1.37237089</v>
      </c>
      <c r="I68" s="18" t="s">
        <v>349</v>
      </c>
      <c r="J68" s="20" t="s">
        <v>349</v>
      </c>
      <c r="K68" s="18" t="n">
        <v>0.58687767</v>
      </c>
      <c r="L68" s="20" t="n">
        <v>0.23985153</v>
      </c>
      <c r="M68" s="18" t="n">
        <v>0</v>
      </c>
      <c r="N68" s="20" t="n">
        <v>0</v>
      </c>
      <c r="O68" s="18" t="n">
        <v>0</v>
      </c>
      <c r="P68" s="20" t="n">
        <v>0</v>
      </c>
      <c r="Q68" s="18" t="n">
        <v>0.70876496</v>
      </c>
      <c r="R68" s="20" t="n">
        <v>0.24388772</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(2767.0/B70*100)</f>
        <v/>
      </c>
      <c r="D70" s="19" t="n">
        <v>340</v>
      </c>
      <c r="E70" s="18" t="n">
        <v>55.12615037</v>
      </c>
      <c r="F70" s="20" t="n">
        <v>3.16091586</v>
      </c>
      <c r="G70" s="18" t="n">
        <v>44.29333303</v>
      </c>
      <c r="H70" s="20" t="n">
        <v>3.15945079</v>
      </c>
      <c r="I70" s="18" t="s">
        <v>349</v>
      </c>
      <c r="J70" s="20" t="s">
        <v>349</v>
      </c>
      <c r="K70" s="18" t="n">
        <v>0.35261372</v>
      </c>
      <c r="L70" s="20" t="n">
        <v>0.25107652</v>
      </c>
      <c r="M70" s="18" t="n">
        <v>0</v>
      </c>
      <c r="N70" s="20" t="n">
        <v>0</v>
      </c>
      <c r="O70" s="18" t="n">
        <v>0</v>
      </c>
      <c r="P70" s="20" t="n">
        <v>0</v>
      </c>
      <c r="Q70" s="18" t="n">
        <v>0.22790288</v>
      </c>
      <c r="R70" s="20" t="n">
        <v>0.2151516</v>
      </c>
    </row>
    <row r="71" spans="1:18">
      <c r="A71" s="15" t="s">
        <v>413</v>
      </c>
      <c r="B71" s="17" t="n">
        <v>2973</v>
      </c>
      <c r="C71" s="18">
        <f>(2635.0/B71*100)</f>
        <v/>
      </c>
      <c r="D71" s="19" t="n">
        <v>338</v>
      </c>
      <c r="E71" s="18" t="n">
        <v>43.14862151</v>
      </c>
      <c r="F71" s="20" t="n">
        <v>2.96381623</v>
      </c>
      <c r="G71" s="18" t="n">
        <v>56.85137849</v>
      </c>
      <c r="H71" s="20" t="n">
        <v>2.96381623</v>
      </c>
      <c r="I71" s="18" t="s">
        <v>349</v>
      </c>
      <c r="J71" s="20" t="s">
        <v>349</v>
      </c>
      <c r="K71" s="18" t="n">
        <v>0</v>
      </c>
      <c r="L71" s="20" t="n">
        <v>0</v>
      </c>
      <c r="M71" s="18" t="n">
        <v>0</v>
      </c>
      <c r="N71" s="20" t="n">
        <v>0</v>
      </c>
      <c r="O71" s="18" t="n">
        <v>0</v>
      </c>
      <c r="P71" s="20" t="n">
        <v>0</v>
      </c>
      <c r="Q71" s="18" t="n">
        <v>0</v>
      </c>
      <c r="R71" s="20" t="n">
        <v>0</v>
      </c>
    </row>
    <row r="72" spans="1:18">
      <c r="A72" s="15" t="s">
        <v>414</v>
      </c>
      <c r="B72" s="17" t="n">
        <v>3819</v>
      </c>
      <c r="C72" s="18">
        <f>(3352.0/B72*100)</f>
        <v/>
      </c>
      <c r="D72" s="19" t="n">
        <v>467</v>
      </c>
      <c r="E72" s="18" t="n">
        <v>44.79494609</v>
      </c>
      <c r="F72" s="20" t="n">
        <v>2.55306247</v>
      </c>
      <c r="G72" s="18" t="n">
        <v>55.20505391</v>
      </c>
      <c r="H72" s="20" t="n">
        <v>2.55306247</v>
      </c>
      <c r="I72" s="18" t="s">
        <v>349</v>
      </c>
      <c r="J72" s="20" t="s">
        <v>349</v>
      </c>
      <c r="K72" s="18" t="n">
        <v>0</v>
      </c>
      <c r="L72" s="20" t="n">
        <v>0</v>
      </c>
      <c r="M72" s="18" t="n">
        <v>0</v>
      </c>
      <c r="N72" s="20" t="n">
        <v>0</v>
      </c>
      <c r="O72" s="18" t="n">
        <v>0</v>
      </c>
      <c r="P72" s="20" t="n">
        <v>0</v>
      </c>
      <c r="Q72" s="18" t="n">
        <v>0</v>
      </c>
      <c r="R72" s="20" t="n">
        <v>0</v>
      </c>
    </row>
    <row r="73" spans="1:18">
      <c r="A73" s="15" t="s">
        <v>415</v>
      </c>
      <c r="B73" s="17" t="n">
        <v>4652</v>
      </c>
      <c r="C73" s="18">
        <f>(4072.0/B73*100)</f>
        <v/>
      </c>
      <c r="D73" s="19" t="n">
        <v>580</v>
      </c>
      <c r="E73" s="18" t="n">
        <v>73.65339339000001</v>
      </c>
      <c r="F73" s="20" t="n">
        <v>2.13482466</v>
      </c>
      <c r="G73" s="18" t="n">
        <v>26.34660661</v>
      </c>
      <c r="H73" s="20" t="n">
        <v>2.13482466</v>
      </c>
      <c r="I73" s="18" t="s">
        <v>349</v>
      </c>
      <c r="J73" s="20" t="s">
        <v>349</v>
      </c>
      <c r="K73" s="18" t="n">
        <v>0</v>
      </c>
      <c r="L73" s="20" t="n">
        <v>0</v>
      </c>
      <c r="M73" s="18" t="n">
        <v>0</v>
      </c>
      <c r="N73" s="20" t="n">
        <v>0</v>
      </c>
      <c r="O73" s="18" t="n">
        <v>0</v>
      </c>
      <c r="P73" s="20" t="n">
        <v>0</v>
      </c>
      <c r="Q73" s="18" t="n">
        <v>0</v>
      </c>
      <c r="R73" s="20" t="n">
        <v>0</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(2614.0/B75*100)</f>
        <v/>
      </c>
      <c r="D75" s="19" t="n">
        <v>355</v>
      </c>
      <c r="E75" s="18" t="n">
        <v>81.77254916</v>
      </c>
      <c r="F75" s="20" t="n">
        <v>2.22600203</v>
      </c>
      <c r="G75" s="18" t="n">
        <v>15.83097346</v>
      </c>
      <c r="H75" s="20" t="n">
        <v>2.06418104</v>
      </c>
      <c r="I75" s="18" t="s">
        <v>349</v>
      </c>
      <c r="J75" s="20" t="s">
        <v>349</v>
      </c>
      <c r="K75" s="18" t="n">
        <v>1.66991627</v>
      </c>
      <c r="L75" s="20" t="n">
        <v>0.73391104</v>
      </c>
      <c r="M75" s="18" t="n">
        <v>0</v>
      </c>
      <c r="N75" s="20" t="n">
        <v>0</v>
      </c>
      <c r="O75" s="18" t="n">
        <v>0</v>
      </c>
      <c r="P75" s="20" t="n">
        <v>0</v>
      </c>
      <c r="Q75" s="18" t="n">
        <v>0.72656111</v>
      </c>
      <c r="R75" s="20" t="n">
        <v>0.36761273</v>
      </c>
    </row>
    <row r="76" spans="1:18">
      <c r="A76" s="15" t="s">
        <v>418</v>
      </c>
      <c r="B76" s="17" t="n">
        <v>7115</v>
      </c>
      <c r="C76" s="18">
        <f>(6280.0/B76*100)</f>
        <v/>
      </c>
      <c r="D76" s="19" t="n">
        <v>835</v>
      </c>
      <c r="E76" s="18" t="n">
        <v>67.58326927</v>
      </c>
      <c r="F76" s="20" t="n">
        <v>2.19115262</v>
      </c>
      <c r="G76" s="18" t="n">
        <v>31.97291582</v>
      </c>
      <c r="H76" s="20" t="n">
        <v>2.17843689</v>
      </c>
      <c r="I76" s="18" t="s">
        <v>349</v>
      </c>
      <c r="J76" s="20" t="s">
        <v>349</v>
      </c>
      <c r="K76" s="18" t="n">
        <v>0.33675594</v>
      </c>
      <c r="L76" s="20" t="n">
        <v>0.23601656</v>
      </c>
      <c r="M76" s="18" t="n">
        <v>0</v>
      </c>
      <c r="N76" s="20" t="n">
        <v>0</v>
      </c>
      <c r="O76" s="18" t="n">
        <v>0</v>
      </c>
      <c r="P76" s="20" t="n">
        <v>0</v>
      </c>
      <c r="Q76" s="18" t="n">
        <v>0.10705897</v>
      </c>
      <c r="R76" s="20" t="n">
        <v>0.07991167</v>
      </c>
    </row>
    <row r="77" spans="1:18">
      <c r="A77" s="15" t="s">
        <v>419</v>
      </c>
      <c r="B77" s="17" t="n">
        <v>3154</v>
      </c>
      <c r="C77" s="18">
        <f>(2773.0/B77*100)</f>
        <v/>
      </c>
      <c r="D77" s="19" t="n">
        <v>381</v>
      </c>
      <c r="E77" s="18" t="n">
        <v>76.13407128</v>
      </c>
      <c r="F77" s="20" t="n">
        <v>1.98661675</v>
      </c>
      <c r="G77" s="18" t="n">
        <v>23.00770763</v>
      </c>
      <c r="H77" s="20" t="n">
        <v>1.92068376</v>
      </c>
      <c r="I77" s="18" t="s">
        <v>349</v>
      </c>
      <c r="J77" s="20" t="s">
        <v>349</v>
      </c>
      <c r="K77" s="18" t="n">
        <v>0.8582211</v>
      </c>
      <c r="L77" s="20" t="n">
        <v>0.54081207</v>
      </c>
      <c r="M77" s="18" t="n">
        <v>0</v>
      </c>
      <c r="N77" s="20" t="n">
        <v>0</v>
      </c>
      <c r="O77" s="18" t="n">
        <v>0</v>
      </c>
      <c r="P77" s="20" t="n">
        <v>0</v>
      </c>
      <c r="Q77" s="18" t="n">
        <v>0</v>
      </c>
      <c r="R77" s="20" t="n">
        <v>0</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(4126.0/B81*100)</f>
        <v/>
      </c>
      <c r="D81" s="19" t="n">
        <v>572</v>
      </c>
      <c r="E81" s="18" t="n">
        <v>69.70413261</v>
      </c>
      <c r="F81" s="20" t="n">
        <v>2.53328388</v>
      </c>
      <c r="G81" s="18" t="n">
        <v>30.01474422</v>
      </c>
      <c r="H81" s="20" t="n">
        <v>2.51634956</v>
      </c>
      <c r="I81" s="18" t="s">
        <v>349</v>
      </c>
      <c r="J81" s="20" t="s">
        <v>349</v>
      </c>
      <c r="K81" s="18" t="n">
        <v>0.28112318</v>
      </c>
      <c r="L81" s="20" t="n">
        <v>0.27831956</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(6304.0/B7*100)</f>
        <v/>
      </c>
      <c r="D7" s="19" t="n">
        <v>859</v>
      </c>
      <c r="E7" s="18" t="n">
        <v>26.78061242</v>
      </c>
      <c r="F7" s="20" t="n">
        <v>1.88446903</v>
      </c>
      <c r="G7" s="18" t="n">
        <v>71.21883807</v>
      </c>
      <c r="H7" s="20" t="n">
        <v>1.95005556</v>
      </c>
      <c r="I7" s="18" t="s">
        <v>349</v>
      </c>
      <c r="J7" s="20" t="s">
        <v>349</v>
      </c>
      <c r="K7" s="18" t="n">
        <v>0.5262623400000001</v>
      </c>
      <c r="L7" s="20" t="n">
        <v>0.28723729</v>
      </c>
      <c r="M7" s="18" t="n">
        <v>0</v>
      </c>
      <c r="N7" s="20" t="n">
        <v>0</v>
      </c>
      <c r="O7" s="18" t="n">
        <v>0</v>
      </c>
      <c r="P7" s="20" t="n">
        <v>0</v>
      </c>
      <c r="Q7" s="18" t="n">
        <v>1.47428716</v>
      </c>
      <c r="R7" s="20" t="n">
        <v>0.43152183</v>
      </c>
    </row>
    <row r="8" spans="1:18">
      <c r="A8" s="15" t="s">
        <v>350</v>
      </c>
      <c r="B8" s="17" t="n">
        <v>3443</v>
      </c>
      <c r="C8" s="18">
        <f>(3031.0/B8*100)</f>
        <v/>
      </c>
      <c r="D8" s="19" t="n">
        <v>412</v>
      </c>
      <c r="E8" s="18" t="n">
        <v>38.47959638</v>
      </c>
      <c r="F8" s="20" t="n">
        <v>2.32505562</v>
      </c>
      <c r="G8" s="18" t="n">
        <v>57.71415674</v>
      </c>
      <c r="H8" s="20" t="n">
        <v>2.44875049</v>
      </c>
      <c r="I8" s="18" t="s">
        <v>349</v>
      </c>
      <c r="J8" s="20" t="s">
        <v>349</v>
      </c>
      <c r="K8" s="18" t="n">
        <v>0</v>
      </c>
      <c r="L8" s="20" t="n">
        <v>0</v>
      </c>
      <c r="M8" s="18" t="n">
        <v>0</v>
      </c>
      <c r="N8" s="20" t="n">
        <v>0</v>
      </c>
      <c r="O8" s="18" t="n">
        <v>0</v>
      </c>
      <c r="P8" s="20" t="n">
        <v>0</v>
      </c>
      <c r="Q8" s="18" t="n">
        <v>3.80624688</v>
      </c>
      <c r="R8" s="20" t="n">
        <v>1.13012336</v>
      </c>
    </row>
    <row r="9" spans="1:18">
      <c r="A9" s="15" t="s">
        <v>351</v>
      </c>
      <c r="B9" s="17" t="n">
        <v>4752</v>
      </c>
      <c r="C9" s="18">
        <f>(4175.0/B9*100)</f>
        <v/>
      </c>
      <c r="D9" s="19" t="n">
        <v>577</v>
      </c>
      <c r="E9" s="18" t="n">
        <v>32.08560618</v>
      </c>
      <c r="F9" s="20" t="n">
        <v>1.81502293</v>
      </c>
      <c r="G9" s="18" t="n">
        <v>60.63748439</v>
      </c>
      <c r="H9" s="20" t="n">
        <v>2.06295815</v>
      </c>
      <c r="I9" s="18" t="s">
        <v>349</v>
      </c>
      <c r="J9" s="20" t="s">
        <v>349</v>
      </c>
      <c r="K9" s="18" t="n">
        <v>0</v>
      </c>
      <c r="L9" s="20" t="n">
        <v>0</v>
      </c>
      <c r="M9" s="18" t="n">
        <v>0</v>
      </c>
      <c r="N9" s="20" t="n">
        <v>0</v>
      </c>
      <c r="O9" s="18" t="n">
        <v>0</v>
      </c>
      <c r="P9" s="20" t="n">
        <v>0</v>
      </c>
      <c r="Q9" s="18" t="n">
        <v>7.27690943</v>
      </c>
      <c r="R9" s="20" t="n">
        <v>0.85644507</v>
      </c>
    </row>
    <row r="10" spans="1:18">
      <c r="A10" s="15" t="s">
        <v>352</v>
      </c>
      <c r="B10" s="17" t="n">
        <v>10022</v>
      </c>
      <c r="C10" s="18">
        <f>(8782.0/B10*100)</f>
        <v/>
      </c>
      <c r="D10" s="19" t="n">
        <v>1240</v>
      </c>
      <c r="E10" s="18" t="n">
        <v>23.40384119</v>
      </c>
      <c r="F10" s="20" t="n">
        <v>1.60166375</v>
      </c>
      <c r="G10" s="18" t="n">
        <v>74.98346907</v>
      </c>
      <c r="H10" s="20" t="n">
        <v>1.65012548</v>
      </c>
      <c r="I10" s="18" t="s">
        <v>349</v>
      </c>
      <c r="J10" s="20" t="s">
        <v>349</v>
      </c>
      <c r="K10" s="18" t="n">
        <v>0.08514486</v>
      </c>
      <c r="L10" s="20" t="n">
        <v>0.05276659</v>
      </c>
      <c r="M10" s="18" t="n">
        <v>0</v>
      </c>
      <c r="N10" s="20" t="n">
        <v>0</v>
      </c>
      <c r="O10" s="18" t="n">
        <v>0</v>
      </c>
      <c r="P10" s="20" t="n">
        <v>0</v>
      </c>
      <c r="Q10" s="18" t="n">
        <v>1.52754488</v>
      </c>
      <c r="R10" s="20" t="n">
        <v>0.5716243600000001</v>
      </c>
    </row>
    <row r="11" spans="1:18">
      <c r="A11" s="15" t="s">
        <v>353</v>
      </c>
      <c r="B11" s="17" t="n">
        <v>3500</v>
      </c>
      <c r="C11" s="18">
        <f>(3078.0/B11*100)</f>
        <v/>
      </c>
      <c r="D11" s="19" t="n">
        <v>422</v>
      </c>
      <c r="E11" s="18" t="n">
        <v>37.67063984</v>
      </c>
      <c r="F11" s="20" t="n">
        <v>2.78492589</v>
      </c>
      <c r="G11" s="18" t="n">
        <v>54.96569684</v>
      </c>
      <c r="H11" s="20" t="n">
        <v>2.7709128</v>
      </c>
      <c r="I11" s="18" t="s">
        <v>349</v>
      </c>
      <c r="J11" s="20" t="s">
        <v>349</v>
      </c>
      <c r="K11" s="18" t="n">
        <v>0.30601775</v>
      </c>
      <c r="L11" s="20" t="n">
        <v>0.30145077</v>
      </c>
      <c r="M11" s="18" t="n">
        <v>0</v>
      </c>
      <c r="N11" s="20" t="n">
        <v>0</v>
      </c>
      <c r="O11" s="18" t="n">
        <v>0</v>
      </c>
      <c r="P11" s="20" t="n">
        <v>0</v>
      </c>
      <c r="Q11" s="18" t="n">
        <v>7.05764557</v>
      </c>
      <c r="R11" s="20" t="n">
        <v>1.37241706</v>
      </c>
    </row>
    <row r="12" spans="1:18">
      <c r="A12" s="15" t="s">
        <v>354</v>
      </c>
      <c r="B12" s="17" t="n">
        <v>3422</v>
      </c>
      <c r="C12" s="18">
        <f>(2976.0/B12*100)</f>
        <v/>
      </c>
      <c r="D12" s="19" t="n">
        <v>446</v>
      </c>
      <c r="E12" s="18" t="n">
        <v>24.67057357</v>
      </c>
      <c r="F12" s="20" t="n">
        <v>2.61332732</v>
      </c>
      <c r="G12" s="18" t="n">
        <v>72.18492107</v>
      </c>
      <c r="H12" s="20" t="n">
        <v>2.53922886</v>
      </c>
      <c r="I12" s="18" t="s">
        <v>349</v>
      </c>
      <c r="J12" s="20" t="s">
        <v>349</v>
      </c>
      <c r="K12" s="18" t="n">
        <v>0.0918069</v>
      </c>
      <c r="L12" s="20" t="n">
        <v>0.09040432</v>
      </c>
      <c r="M12" s="18" t="n">
        <v>0</v>
      </c>
      <c r="N12" s="20" t="n">
        <v>0</v>
      </c>
      <c r="O12" s="18" t="n">
        <v>0</v>
      </c>
      <c r="P12" s="20" t="n">
        <v>0</v>
      </c>
      <c r="Q12" s="18" t="n">
        <v>3.05269846</v>
      </c>
      <c r="R12" s="20" t="n">
        <v>0.91016164</v>
      </c>
    </row>
    <row r="13" spans="1:18">
      <c r="A13" s="15" t="s">
        <v>355</v>
      </c>
      <c r="B13" s="17" t="n">
        <v>3602</v>
      </c>
      <c r="C13" s="18">
        <f>(3155.0/B13*100)</f>
        <v/>
      </c>
      <c r="D13" s="19" t="n">
        <v>447</v>
      </c>
      <c r="E13" s="18" t="n">
        <v>22.1158929</v>
      </c>
      <c r="F13" s="20" t="n">
        <v>1.93781647</v>
      </c>
      <c r="G13" s="18" t="n">
        <v>74.79910144999999</v>
      </c>
      <c r="H13" s="20" t="n">
        <v>1.99406815</v>
      </c>
      <c r="I13" s="18" t="s">
        <v>349</v>
      </c>
      <c r="J13" s="20" t="s">
        <v>349</v>
      </c>
      <c r="K13" s="18" t="n">
        <v>0.87341594</v>
      </c>
      <c r="L13" s="20" t="n">
        <v>0.56117192</v>
      </c>
      <c r="M13" s="18" t="n">
        <v>0</v>
      </c>
      <c r="N13" s="20" t="n">
        <v>0</v>
      </c>
      <c r="O13" s="18" t="n">
        <v>0</v>
      </c>
      <c r="P13" s="20" t="n">
        <v>0</v>
      </c>
      <c r="Q13" s="18" t="n">
        <v>2.21158971</v>
      </c>
      <c r="R13" s="20" t="n">
        <v>0.83002911</v>
      </c>
    </row>
    <row r="14" spans="1:18">
      <c r="A14" s="15" t="s">
        <v>356</v>
      </c>
      <c r="B14" s="17" t="n">
        <v>2788</v>
      </c>
      <c r="C14" s="18">
        <f>(2425.0/B14*100)</f>
        <v/>
      </c>
      <c r="D14" s="19" t="n">
        <v>363</v>
      </c>
      <c r="E14" s="18" t="n">
        <v>13.94204151</v>
      </c>
      <c r="F14" s="20" t="n">
        <v>1.91778401</v>
      </c>
      <c r="G14" s="18" t="n">
        <v>83.90653189</v>
      </c>
      <c r="H14" s="20" t="n">
        <v>2.21280365</v>
      </c>
      <c r="I14" s="18" t="s">
        <v>349</v>
      </c>
      <c r="J14" s="20" t="s">
        <v>349</v>
      </c>
      <c r="K14" s="18" t="n">
        <v>0</v>
      </c>
      <c r="L14" s="20" t="n">
        <v>0</v>
      </c>
      <c r="M14" s="18" t="n">
        <v>0</v>
      </c>
      <c r="N14" s="20" t="n">
        <v>0</v>
      </c>
      <c r="O14" s="18" t="n">
        <v>0</v>
      </c>
      <c r="P14" s="20" t="n">
        <v>0</v>
      </c>
      <c r="Q14" s="18" t="n">
        <v>2.15142661</v>
      </c>
      <c r="R14" s="20" t="n">
        <v>1.15124229</v>
      </c>
    </row>
    <row r="15" spans="1:18">
      <c r="A15" s="15" t="s">
        <v>357</v>
      </c>
      <c r="B15" s="17" t="n">
        <v>2863</v>
      </c>
      <c r="C15" s="18">
        <f>(2513.0/B15*100)</f>
        <v/>
      </c>
      <c r="D15" s="19" t="n">
        <v>350</v>
      </c>
      <c r="E15" s="18" t="n">
        <v>18.58907975</v>
      </c>
      <c r="F15" s="20" t="n">
        <v>2.14958198</v>
      </c>
      <c r="G15" s="18" t="n">
        <v>77.84593092</v>
      </c>
      <c r="H15" s="20" t="n">
        <v>2.34477721</v>
      </c>
      <c r="I15" s="18" t="s">
        <v>349</v>
      </c>
      <c r="J15" s="20" t="s">
        <v>349</v>
      </c>
      <c r="K15" s="18" t="n">
        <v>0</v>
      </c>
      <c r="L15" s="20" t="n">
        <v>0</v>
      </c>
      <c r="M15" s="18" t="n">
        <v>0</v>
      </c>
      <c r="N15" s="20" t="n">
        <v>0</v>
      </c>
      <c r="O15" s="18" t="n">
        <v>0</v>
      </c>
      <c r="P15" s="20" t="n">
        <v>0</v>
      </c>
      <c r="Q15" s="18" t="n">
        <v>3.56498933</v>
      </c>
      <c r="R15" s="20" t="n">
        <v>0.8613534</v>
      </c>
    </row>
    <row r="16" spans="1:18">
      <c r="A16" s="15" t="s">
        <v>358</v>
      </c>
      <c r="B16" s="17" t="n">
        <v>3111</v>
      </c>
      <c r="C16" s="18">
        <f>(2742.0/B16*100)</f>
        <v/>
      </c>
      <c r="D16" s="19" t="n">
        <v>369</v>
      </c>
      <c r="E16" s="18" t="n">
        <v>31.85516687</v>
      </c>
      <c r="F16" s="20" t="n">
        <v>2.26212724</v>
      </c>
      <c r="G16" s="18" t="n">
        <v>62.2010877</v>
      </c>
      <c r="H16" s="20" t="n">
        <v>2.45673412</v>
      </c>
      <c r="I16" s="18" t="s">
        <v>349</v>
      </c>
      <c r="J16" s="20" t="s">
        <v>349</v>
      </c>
      <c r="K16" s="18" t="n">
        <v>0.52244649</v>
      </c>
      <c r="L16" s="20" t="n">
        <v>0.31638679</v>
      </c>
      <c r="M16" s="18" t="n">
        <v>0</v>
      </c>
      <c r="N16" s="20" t="n">
        <v>0</v>
      </c>
      <c r="O16" s="18" t="n">
        <v>0</v>
      </c>
      <c r="P16" s="20" t="n">
        <v>0</v>
      </c>
      <c r="Q16" s="18" t="n">
        <v>5.42129894</v>
      </c>
      <c r="R16" s="20" t="n">
        <v>1.21979687</v>
      </c>
    </row>
    <row r="17" spans="1:18">
      <c r="A17" s="15" t="s">
        <v>359</v>
      </c>
      <c r="B17" s="17" t="n">
        <v>3197</v>
      </c>
      <c r="C17" s="18">
        <f>(2819.0/B17*100)</f>
        <v/>
      </c>
      <c r="D17" s="19" t="n">
        <v>378</v>
      </c>
      <c r="E17" s="18" t="n">
        <v>34.69991435</v>
      </c>
      <c r="F17" s="20" t="n">
        <v>2.55120147</v>
      </c>
      <c r="G17" s="18" t="n">
        <v>59.55450349</v>
      </c>
      <c r="H17" s="20" t="n">
        <v>2.58070432</v>
      </c>
      <c r="I17" s="18" t="s">
        <v>349</v>
      </c>
      <c r="J17" s="20" t="s">
        <v>349</v>
      </c>
      <c r="K17" s="18" t="n">
        <v>0</v>
      </c>
      <c r="L17" s="20" t="n">
        <v>0</v>
      </c>
      <c r="M17" s="18" t="n">
        <v>0</v>
      </c>
      <c r="N17" s="20" t="n">
        <v>0</v>
      </c>
      <c r="O17" s="18" t="n">
        <v>0</v>
      </c>
      <c r="P17" s="20" t="n">
        <v>0</v>
      </c>
      <c r="Q17" s="18" t="n">
        <v>5.74558216</v>
      </c>
      <c r="R17" s="20" t="n">
        <v>1.04878486</v>
      </c>
    </row>
    <row r="18" spans="1:18">
      <c r="A18" s="15" t="s">
        <v>360</v>
      </c>
      <c r="B18" s="17" t="n">
        <v>2706</v>
      </c>
      <c r="C18" s="18">
        <f>(2365.0/B18*100)</f>
        <v/>
      </c>
      <c r="D18" s="19" t="n">
        <v>341</v>
      </c>
      <c r="E18" s="18" t="n">
        <v>33.94974553</v>
      </c>
      <c r="F18" s="20" t="n">
        <v>2.82396105</v>
      </c>
      <c r="G18" s="18" t="n">
        <v>61.66454627</v>
      </c>
      <c r="H18" s="20" t="n">
        <v>3.04243372</v>
      </c>
      <c r="I18" s="18" t="s">
        <v>349</v>
      </c>
      <c r="J18" s="20" t="s">
        <v>349</v>
      </c>
      <c r="K18" s="18" t="n">
        <v>0</v>
      </c>
      <c r="L18" s="20" t="n">
        <v>0</v>
      </c>
      <c r="M18" s="18" t="n">
        <v>0</v>
      </c>
      <c r="N18" s="20" t="n">
        <v>0</v>
      </c>
      <c r="O18" s="18" t="n">
        <v>0</v>
      </c>
      <c r="P18" s="20" t="n">
        <v>0</v>
      </c>
      <c r="Q18" s="18" t="n">
        <v>4.3857082</v>
      </c>
      <c r="R18" s="20" t="n">
        <v>1.20000046</v>
      </c>
    </row>
    <row r="19" spans="1:18">
      <c r="A19" s="15" t="s">
        <v>361</v>
      </c>
      <c r="B19" s="17" t="n">
        <v>2850</v>
      </c>
      <c r="C19" s="18">
        <f>(2493.0/B19*100)</f>
        <v/>
      </c>
      <c r="D19" s="19" t="n">
        <v>357</v>
      </c>
      <c r="E19" s="18" t="n">
        <v>28.57513143</v>
      </c>
      <c r="F19" s="20" t="n">
        <v>2.89588637</v>
      </c>
      <c r="G19" s="18" t="n">
        <v>64.99609246999999</v>
      </c>
      <c r="H19" s="20" t="n">
        <v>3.00525823</v>
      </c>
      <c r="I19" s="18" t="s">
        <v>349</v>
      </c>
      <c r="J19" s="20" t="s">
        <v>349</v>
      </c>
      <c r="K19" s="18" t="n">
        <v>0.29479445</v>
      </c>
      <c r="L19" s="20" t="n">
        <v>0.29423152</v>
      </c>
      <c r="M19" s="18" t="n">
        <v>0</v>
      </c>
      <c r="N19" s="20" t="n">
        <v>0</v>
      </c>
      <c r="O19" s="18" t="n">
        <v>0</v>
      </c>
      <c r="P19" s="20" t="n">
        <v>0</v>
      </c>
      <c r="Q19" s="18" t="n">
        <v>6.13398165</v>
      </c>
      <c r="R19" s="20" t="n">
        <v>1.55003185</v>
      </c>
    </row>
    <row r="20" spans="1:18">
      <c r="A20" s="15" t="s">
        <v>362</v>
      </c>
      <c r="B20" s="17" t="n">
        <v>1741</v>
      </c>
      <c r="C20" s="18">
        <f>(1536.0/B20*100)</f>
        <v/>
      </c>
      <c r="D20" s="19" t="n">
        <v>205</v>
      </c>
      <c r="E20" s="18" t="n">
        <v>25.5659917</v>
      </c>
      <c r="F20" s="20" t="n">
        <v>3.25049214</v>
      </c>
      <c r="G20" s="18" t="n">
        <v>70.52687551</v>
      </c>
      <c r="H20" s="20" t="n">
        <v>3.46516898</v>
      </c>
      <c r="I20" s="18" t="s">
        <v>349</v>
      </c>
      <c r="J20" s="20" t="s">
        <v>349</v>
      </c>
      <c r="K20" s="18" t="n">
        <v>0.94457937</v>
      </c>
      <c r="L20" s="20" t="n">
        <v>0.67327989</v>
      </c>
      <c r="M20" s="18" t="n">
        <v>0</v>
      </c>
      <c r="N20" s="20" t="n">
        <v>0</v>
      </c>
      <c r="O20" s="18" t="n">
        <v>0</v>
      </c>
      <c r="P20" s="20" t="n">
        <v>0</v>
      </c>
      <c r="Q20" s="18" t="n">
        <v>2.96255342</v>
      </c>
      <c r="R20" s="20" t="n">
        <v>1.19631314</v>
      </c>
    </row>
    <row r="21" spans="1:18">
      <c r="A21" s="15" t="s">
        <v>363</v>
      </c>
      <c r="B21" s="17" t="n">
        <v>2833</v>
      </c>
      <c r="C21" s="18">
        <f>(2359.0/B21*100)</f>
        <v/>
      </c>
      <c r="D21" s="19" t="n">
        <v>474</v>
      </c>
      <c r="E21" s="18" t="n">
        <v>27.0632984</v>
      </c>
      <c r="F21" s="20" t="n">
        <v>1.98044865</v>
      </c>
      <c r="G21" s="18" t="n">
        <v>70.7780716</v>
      </c>
      <c r="H21" s="20" t="n">
        <v>2.05980195</v>
      </c>
      <c r="I21" s="18" t="s">
        <v>349</v>
      </c>
      <c r="J21" s="20" t="s">
        <v>349</v>
      </c>
      <c r="K21" s="18" t="n">
        <v>0</v>
      </c>
      <c r="L21" s="20" t="n">
        <v>0</v>
      </c>
      <c r="M21" s="18" t="n">
        <v>0</v>
      </c>
      <c r="N21" s="20" t="n">
        <v>0</v>
      </c>
      <c r="O21" s="18" t="n">
        <v>0</v>
      </c>
      <c r="P21" s="20" t="n">
        <v>0</v>
      </c>
      <c r="Q21" s="18" t="n">
        <v>2.15863</v>
      </c>
      <c r="R21" s="20" t="n">
        <v>0.67116527</v>
      </c>
    </row>
    <row r="22" spans="1:18">
      <c r="A22" s="15" t="s">
        <v>364</v>
      </c>
      <c r="B22" s="17" t="n">
        <v>3667</v>
      </c>
      <c r="C22" s="18">
        <f>(3200.0/B22*100)</f>
        <v/>
      </c>
      <c r="D22" s="19" t="n">
        <v>467</v>
      </c>
      <c r="E22" s="18" t="n">
        <v>30.3478476</v>
      </c>
      <c r="F22" s="20" t="n">
        <v>2.29606817</v>
      </c>
      <c r="G22" s="18" t="n">
        <v>61.72970045</v>
      </c>
      <c r="H22" s="20" t="n">
        <v>2.45555304</v>
      </c>
      <c r="I22" s="18" t="s">
        <v>349</v>
      </c>
      <c r="J22" s="20" t="s">
        <v>349</v>
      </c>
      <c r="K22" s="18" t="n">
        <v>0.56373132</v>
      </c>
      <c r="L22" s="20" t="n">
        <v>0.32749631</v>
      </c>
      <c r="M22" s="18" t="n">
        <v>0</v>
      </c>
      <c r="N22" s="20" t="n">
        <v>0</v>
      </c>
      <c r="O22" s="18" t="n">
        <v>0</v>
      </c>
      <c r="P22" s="20" t="n">
        <v>0</v>
      </c>
      <c r="Q22" s="18" t="n">
        <v>7.35872063</v>
      </c>
      <c r="R22" s="20" t="n">
        <v>1.43665409</v>
      </c>
    </row>
    <row r="23" spans="1:18">
      <c r="A23" s="15" t="s">
        <v>365</v>
      </c>
      <c r="B23" s="17" t="n">
        <v>5792</v>
      </c>
      <c r="C23" s="18">
        <f>(5091.0/B23*100)</f>
        <v/>
      </c>
      <c r="D23" s="19" t="n">
        <v>701</v>
      </c>
      <c r="E23" s="18" t="n">
        <v>36.63011538</v>
      </c>
      <c r="F23" s="20" t="n">
        <v>3.32761493</v>
      </c>
      <c r="G23" s="18" t="n">
        <v>58.20059643</v>
      </c>
      <c r="H23" s="20" t="n">
        <v>3.41790736</v>
      </c>
      <c r="I23" s="18" t="s">
        <v>349</v>
      </c>
      <c r="J23" s="20" t="s">
        <v>349</v>
      </c>
      <c r="K23" s="18" t="n">
        <v>0.42490987</v>
      </c>
      <c r="L23" s="20" t="n">
        <v>0.30020601</v>
      </c>
      <c r="M23" s="18" t="n">
        <v>0</v>
      </c>
      <c r="N23" s="20" t="n">
        <v>0</v>
      </c>
      <c r="O23" s="18" t="n">
        <v>0</v>
      </c>
      <c r="P23" s="20" t="n">
        <v>0</v>
      </c>
      <c r="Q23" s="18" t="n">
        <v>4.74437832</v>
      </c>
      <c r="R23" s="20" t="n">
        <v>1.15537063</v>
      </c>
    </row>
    <row r="24" spans="1:18">
      <c r="A24" s="15" t="s">
        <v>366</v>
      </c>
      <c r="B24" s="17" t="n">
        <v>3309</v>
      </c>
      <c r="C24" s="18">
        <f>(2903.0/B24*100)</f>
        <v/>
      </c>
      <c r="D24" s="19" t="n">
        <v>406</v>
      </c>
      <c r="E24" s="18" t="n">
        <v>22.4344861</v>
      </c>
      <c r="F24" s="20" t="n">
        <v>2.32767061</v>
      </c>
      <c r="G24" s="18" t="n">
        <v>74.6365514</v>
      </c>
      <c r="H24" s="20" t="n">
        <v>2.41588087</v>
      </c>
      <c r="I24" s="18" t="s">
        <v>349</v>
      </c>
      <c r="J24" s="20" t="s">
        <v>349</v>
      </c>
      <c r="K24" s="18" t="n">
        <v>0</v>
      </c>
      <c r="L24" s="20" t="n">
        <v>0</v>
      </c>
      <c r="M24" s="18" t="n">
        <v>0</v>
      </c>
      <c r="N24" s="20" t="n">
        <v>0</v>
      </c>
      <c r="O24" s="18" t="n">
        <v>0</v>
      </c>
      <c r="P24" s="20" t="n">
        <v>0</v>
      </c>
      <c r="Q24" s="18" t="n">
        <v>2.92896249</v>
      </c>
      <c r="R24" s="20" t="n">
        <v>0.8542665</v>
      </c>
    </row>
    <row r="25" spans="1:18">
      <c r="A25" s="15" t="s">
        <v>367</v>
      </c>
      <c r="B25" s="17" t="n">
        <v>2669</v>
      </c>
      <c r="C25" s="18">
        <f>(2330.0/B25*100)</f>
        <v/>
      </c>
      <c r="D25" s="19" t="n">
        <v>339</v>
      </c>
      <c r="E25" s="18" t="n">
        <v>19.62370278</v>
      </c>
      <c r="F25" s="20" t="n">
        <v>2.55849714</v>
      </c>
      <c r="G25" s="18" t="n">
        <v>78.65344017</v>
      </c>
      <c r="H25" s="20" t="n">
        <v>2.65570425</v>
      </c>
      <c r="I25" s="18" t="s">
        <v>349</v>
      </c>
      <c r="J25" s="20" t="s">
        <v>349</v>
      </c>
      <c r="K25" s="18" t="n">
        <v>0.30639674</v>
      </c>
      <c r="L25" s="20" t="n">
        <v>0.30463023</v>
      </c>
      <c r="M25" s="18" t="n">
        <v>0</v>
      </c>
      <c r="N25" s="20" t="n">
        <v>0</v>
      </c>
      <c r="O25" s="18" t="n">
        <v>0</v>
      </c>
      <c r="P25" s="20" t="n">
        <v>0</v>
      </c>
      <c r="Q25" s="18" t="n">
        <v>1.41646031</v>
      </c>
      <c r="R25" s="20" t="n">
        <v>0.49247426</v>
      </c>
    </row>
    <row r="26" spans="1:18">
      <c r="A26" s="15" t="s">
        <v>368</v>
      </c>
      <c r="B26" s="17" t="n">
        <v>2419</v>
      </c>
      <c r="C26" s="18">
        <f>(2130.0/B26*100)</f>
        <v/>
      </c>
      <c r="D26" s="19" t="n">
        <v>289</v>
      </c>
      <c r="E26" s="18" t="n">
        <v>32.85157099</v>
      </c>
      <c r="F26" s="20" t="n">
        <v>3.28304756</v>
      </c>
      <c r="G26" s="18" t="n">
        <v>66.39089205000001</v>
      </c>
      <c r="H26" s="20" t="n">
        <v>3.28267105</v>
      </c>
      <c r="I26" s="18" t="s">
        <v>349</v>
      </c>
      <c r="J26" s="20" t="s">
        <v>349</v>
      </c>
      <c r="K26" s="18" t="n">
        <v>0</v>
      </c>
      <c r="L26" s="20" t="n">
        <v>0</v>
      </c>
      <c r="M26" s="18" t="n">
        <v>0</v>
      </c>
      <c r="N26" s="20" t="n">
        <v>0</v>
      </c>
      <c r="O26" s="18" t="n">
        <v>0</v>
      </c>
      <c r="P26" s="20" t="n">
        <v>0</v>
      </c>
      <c r="Q26" s="18" t="n">
        <v>0.75753696</v>
      </c>
      <c r="R26" s="20" t="n">
        <v>0.47303892</v>
      </c>
    </row>
    <row r="27" spans="1:18">
      <c r="A27" s="15" t="s">
        <v>369</v>
      </c>
      <c r="B27" s="17" t="n">
        <v>2683</v>
      </c>
      <c r="C27" s="18">
        <f>(2356.0/B27*100)</f>
        <v/>
      </c>
      <c r="D27" s="19" t="n">
        <v>327</v>
      </c>
      <c r="E27" s="18" t="n">
        <v>44.13194248</v>
      </c>
      <c r="F27" s="20" t="n">
        <v>2.92689929</v>
      </c>
      <c r="G27" s="18" t="n">
        <v>49.96316545</v>
      </c>
      <c r="H27" s="20" t="n">
        <v>2.91544063</v>
      </c>
      <c r="I27" s="18" t="s">
        <v>349</v>
      </c>
      <c r="J27" s="20" t="s">
        <v>349</v>
      </c>
      <c r="K27" s="18" t="n">
        <v>0</v>
      </c>
      <c r="L27" s="20" t="n">
        <v>0</v>
      </c>
      <c r="M27" s="18" t="n">
        <v>0</v>
      </c>
      <c r="N27" s="20" t="n">
        <v>0</v>
      </c>
      <c r="O27" s="18" t="n">
        <v>0</v>
      </c>
      <c r="P27" s="20" t="n">
        <v>0</v>
      </c>
      <c r="Q27" s="18" t="n">
        <v>5.90489207</v>
      </c>
      <c r="R27" s="20" t="n">
        <v>1.27982828</v>
      </c>
    </row>
    <row r="28" spans="1:18">
      <c r="A28" s="15" t="s">
        <v>370</v>
      </c>
      <c r="B28" s="17" t="n">
        <v>3803</v>
      </c>
      <c r="C28" s="18">
        <f>(3360.0/B28*100)</f>
        <v/>
      </c>
      <c r="D28" s="19" t="n">
        <v>443</v>
      </c>
      <c r="E28" s="18" t="n">
        <v>58.03614253</v>
      </c>
      <c r="F28" s="20" t="n">
        <v>2.43456388</v>
      </c>
      <c r="G28" s="18" t="n">
        <v>36.81470964</v>
      </c>
      <c r="H28" s="20" t="n">
        <v>2.29650591</v>
      </c>
      <c r="I28" s="18" t="s">
        <v>349</v>
      </c>
      <c r="J28" s="20" t="s">
        <v>349</v>
      </c>
      <c r="K28" s="18" t="n">
        <v>0.66708942</v>
      </c>
      <c r="L28" s="20" t="n">
        <v>0.47559723</v>
      </c>
      <c r="M28" s="18" t="n">
        <v>0</v>
      </c>
      <c r="N28" s="20" t="n">
        <v>0</v>
      </c>
      <c r="O28" s="18" t="n">
        <v>0</v>
      </c>
      <c r="P28" s="20" t="n">
        <v>0</v>
      </c>
      <c r="Q28" s="18" t="n">
        <v>4.48205841</v>
      </c>
      <c r="R28" s="20" t="n">
        <v>1.17136542</v>
      </c>
    </row>
    <row r="29" spans="1:18">
      <c r="A29" s="15" t="s">
        <v>371</v>
      </c>
      <c r="B29" s="17" t="n">
        <v>2700</v>
      </c>
      <c r="C29" s="18">
        <f>(2358.0/B29*100)</f>
        <v/>
      </c>
      <c r="D29" s="19" t="n">
        <v>342</v>
      </c>
      <c r="E29" s="18" t="n">
        <v>27.38882878</v>
      </c>
      <c r="F29" s="20" t="n">
        <v>2.24118248</v>
      </c>
      <c r="G29" s="18" t="n">
        <v>69.00440657999999</v>
      </c>
      <c r="H29" s="20" t="n">
        <v>2.33294859</v>
      </c>
      <c r="I29" s="18" t="s">
        <v>349</v>
      </c>
      <c r="J29" s="20" t="s">
        <v>349</v>
      </c>
      <c r="K29" s="18" t="n">
        <v>0.38060431</v>
      </c>
      <c r="L29" s="20" t="n">
        <v>0.29319164</v>
      </c>
      <c r="M29" s="18" t="n">
        <v>0</v>
      </c>
      <c r="N29" s="20" t="n">
        <v>0</v>
      </c>
      <c r="O29" s="18" t="n">
        <v>0</v>
      </c>
      <c r="P29" s="20" t="n">
        <v>0</v>
      </c>
      <c r="Q29" s="18" t="n">
        <v>3.22616033</v>
      </c>
      <c r="R29" s="20" t="n">
        <v>0.87581495</v>
      </c>
    </row>
    <row r="30" spans="1:18">
      <c r="A30" s="15" t="s">
        <v>372</v>
      </c>
      <c r="B30" s="17" t="n">
        <v>2257</v>
      </c>
      <c r="C30" s="18">
        <f>(1973.0/B30*100)</f>
        <v/>
      </c>
      <c r="D30" s="19" t="n">
        <v>284</v>
      </c>
      <c r="E30" s="18" t="n">
        <v>21.3466332</v>
      </c>
      <c r="F30" s="20" t="n">
        <v>3.02037815</v>
      </c>
      <c r="G30" s="18" t="n">
        <v>76.00789105</v>
      </c>
      <c r="H30" s="20" t="n">
        <v>3.21894509</v>
      </c>
      <c r="I30" s="18" t="s">
        <v>349</v>
      </c>
      <c r="J30" s="20" t="s">
        <v>349</v>
      </c>
      <c r="K30" s="18" t="n">
        <v>0</v>
      </c>
      <c r="L30" s="20" t="n">
        <v>0</v>
      </c>
      <c r="M30" s="18" t="n">
        <v>0</v>
      </c>
      <c r="N30" s="20" t="n">
        <v>0</v>
      </c>
      <c r="O30" s="18" t="n">
        <v>0</v>
      </c>
      <c r="P30" s="20" t="n">
        <v>0</v>
      </c>
      <c r="Q30" s="18" t="n">
        <v>2.64547575</v>
      </c>
      <c r="R30" s="20" t="n">
        <v>0.93664331</v>
      </c>
    </row>
    <row r="31" spans="1:18">
      <c r="A31" s="15" t="s">
        <v>373</v>
      </c>
      <c r="B31" s="17" t="n">
        <v>2706</v>
      </c>
      <c r="C31" s="18">
        <f>(2387.0/B31*100)</f>
        <v/>
      </c>
      <c r="D31" s="19" t="n">
        <v>319</v>
      </c>
      <c r="E31" s="18" t="n">
        <v>23.57391648</v>
      </c>
      <c r="F31" s="20" t="n">
        <v>2.15578001</v>
      </c>
      <c r="G31" s="18" t="n">
        <v>71.08352859</v>
      </c>
      <c r="H31" s="20" t="n">
        <v>2.23466113</v>
      </c>
      <c r="I31" s="18" t="s">
        <v>349</v>
      </c>
      <c r="J31" s="20" t="s">
        <v>349</v>
      </c>
      <c r="K31" s="18" t="n">
        <v>0.30155087</v>
      </c>
      <c r="L31" s="20" t="n">
        <v>0.29136793</v>
      </c>
      <c r="M31" s="18" t="n">
        <v>0</v>
      </c>
      <c r="N31" s="20" t="n">
        <v>0</v>
      </c>
      <c r="O31" s="18" t="n">
        <v>0</v>
      </c>
      <c r="P31" s="20" t="n">
        <v>0</v>
      </c>
      <c r="Q31" s="18" t="n">
        <v>5.04100406</v>
      </c>
      <c r="R31" s="20" t="n">
        <v>1.23991936</v>
      </c>
    </row>
    <row r="32" spans="1:18">
      <c r="A32" s="15" t="s">
        <v>374</v>
      </c>
      <c r="B32" s="17" t="n">
        <v>2209</v>
      </c>
      <c r="C32" s="18">
        <f>(1839.0/B32*100)</f>
        <v/>
      </c>
      <c r="D32" s="19" t="n">
        <v>370</v>
      </c>
      <c r="E32" s="18" t="n">
        <v>28.61690757</v>
      </c>
      <c r="F32" s="20" t="n">
        <v>2.43082835</v>
      </c>
      <c r="G32" s="18" t="n">
        <v>66.78900054</v>
      </c>
      <c r="H32" s="20" t="n">
        <v>2.32117858</v>
      </c>
      <c r="I32" s="18" t="s">
        <v>349</v>
      </c>
      <c r="J32" s="20" t="s">
        <v>349</v>
      </c>
      <c r="K32" s="18" t="n">
        <v>0.25678822</v>
      </c>
      <c r="L32" s="20" t="n">
        <v>0.26901858</v>
      </c>
      <c r="M32" s="18" t="n">
        <v>0</v>
      </c>
      <c r="N32" s="20" t="n">
        <v>0</v>
      </c>
      <c r="O32" s="18" t="n">
        <v>0</v>
      </c>
      <c r="P32" s="20" t="n">
        <v>0</v>
      </c>
      <c r="Q32" s="18" t="n">
        <v>4.33730367</v>
      </c>
      <c r="R32" s="20" t="n">
        <v>1.1255157</v>
      </c>
    </row>
    <row r="33" spans="1:18">
      <c r="A33" s="15" t="s">
        <v>375</v>
      </c>
      <c r="B33" s="17" t="n">
        <v>3651</v>
      </c>
      <c r="C33" s="18">
        <f>(3205.0/B33*100)</f>
        <v/>
      </c>
      <c r="D33" s="19" t="n">
        <v>446</v>
      </c>
      <c r="E33" s="18" t="n">
        <v>37.84112314</v>
      </c>
      <c r="F33" s="20" t="n">
        <v>2.74217357</v>
      </c>
      <c r="G33" s="18" t="n">
        <v>57.75946504</v>
      </c>
      <c r="H33" s="20" t="n">
        <v>2.96065034</v>
      </c>
      <c r="I33" s="18" t="s">
        <v>349</v>
      </c>
      <c r="J33" s="20" t="s">
        <v>349</v>
      </c>
      <c r="K33" s="18" t="n">
        <v>0</v>
      </c>
      <c r="L33" s="20" t="n">
        <v>0</v>
      </c>
      <c r="M33" s="18" t="n">
        <v>0</v>
      </c>
      <c r="N33" s="20" t="n">
        <v>0</v>
      </c>
      <c r="O33" s="18" t="n">
        <v>0</v>
      </c>
      <c r="P33" s="20" t="n">
        <v>0</v>
      </c>
      <c r="Q33" s="18" t="n">
        <v>4.39941182</v>
      </c>
      <c r="R33" s="20" t="n">
        <v>1.23969421</v>
      </c>
    </row>
    <row r="34" spans="1:18">
      <c r="A34" s="15" t="s">
        <v>376</v>
      </c>
      <c r="B34" s="17" t="n">
        <v>3035</v>
      </c>
      <c r="C34" s="18">
        <f>(2670.0/B34*100)</f>
        <v/>
      </c>
      <c r="D34" s="19" t="n">
        <v>365</v>
      </c>
      <c r="E34" s="18" t="n">
        <v>32.35769278</v>
      </c>
      <c r="F34" s="20" t="n">
        <v>2.54610598</v>
      </c>
      <c r="G34" s="18" t="n">
        <v>65.55177365999999</v>
      </c>
      <c r="H34" s="20" t="n">
        <v>2.56917307</v>
      </c>
      <c r="I34" s="18" t="s">
        <v>349</v>
      </c>
      <c r="J34" s="20" t="s">
        <v>349</v>
      </c>
      <c r="K34" s="18" t="n">
        <v>0</v>
      </c>
      <c r="L34" s="20" t="n">
        <v>0</v>
      </c>
      <c r="M34" s="18" t="n">
        <v>0</v>
      </c>
      <c r="N34" s="20" t="n">
        <v>0</v>
      </c>
      <c r="O34" s="18" t="n">
        <v>0</v>
      </c>
      <c r="P34" s="20" t="n">
        <v>0</v>
      </c>
      <c r="Q34" s="18" t="n">
        <v>2.09053355</v>
      </c>
      <c r="R34" s="20" t="n">
        <v>0.73987942</v>
      </c>
    </row>
    <row r="35" spans="1:18">
      <c r="A35" s="15" t="s">
        <v>377</v>
      </c>
      <c r="B35" s="17" t="n">
        <v>2901</v>
      </c>
      <c r="C35" s="18">
        <f>(2520.0/B35*100)</f>
        <v/>
      </c>
      <c r="D35" s="19" t="n">
        <v>381</v>
      </c>
      <c r="E35" s="18" t="n">
        <v>27.84166755</v>
      </c>
      <c r="F35" s="20" t="n">
        <v>2.85700045</v>
      </c>
      <c r="G35" s="18" t="n">
        <v>64.96385425</v>
      </c>
      <c r="H35" s="20" t="n">
        <v>3.02944887</v>
      </c>
      <c r="I35" s="18" t="s">
        <v>349</v>
      </c>
      <c r="J35" s="20" t="s">
        <v>349</v>
      </c>
      <c r="K35" s="18" t="n">
        <v>0.09890655</v>
      </c>
      <c r="L35" s="20" t="n">
        <v>0.09973542000000001</v>
      </c>
      <c r="M35" s="18" t="n">
        <v>0</v>
      </c>
      <c r="N35" s="20" t="n">
        <v>0</v>
      </c>
      <c r="O35" s="18" t="n">
        <v>0</v>
      </c>
      <c r="P35" s="20" t="n">
        <v>0</v>
      </c>
      <c r="Q35" s="18" t="n">
        <v>7.09557164</v>
      </c>
      <c r="R35" s="20" t="n">
        <v>1.46873878</v>
      </c>
    </row>
    <row r="36" spans="1:18">
      <c r="A36" s="15" t="s">
        <v>378</v>
      </c>
      <c r="B36" s="17" t="n">
        <v>3404</v>
      </c>
      <c r="C36" s="18">
        <f>(2978.0/B36*100)</f>
        <v/>
      </c>
      <c r="D36" s="19" t="n">
        <v>426</v>
      </c>
      <c r="E36" s="18" t="n">
        <v>34.52722594</v>
      </c>
      <c r="F36" s="20" t="n">
        <v>2.18749447</v>
      </c>
      <c r="G36" s="18" t="n">
        <v>59.22542476</v>
      </c>
      <c r="H36" s="20" t="n">
        <v>2.36712951</v>
      </c>
      <c r="I36" s="18" t="s">
        <v>349</v>
      </c>
      <c r="J36" s="20" t="s">
        <v>349</v>
      </c>
      <c r="K36" s="18" t="n">
        <v>0.3858874</v>
      </c>
      <c r="L36" s="20" t="n">
        <v>0.34439514</v>
      </c>
      <c r="M36" s="18" t="n">
        <v>0</v>
      </c>
      <c r="N36" s="20" t="n">
        <v>0</v>
      </c>
      <c r="O36" s="18" t="n">
        <v>0</v>
      </c>
      <c r="P36" s="20" t="n">
        <v>0</v>
      </c>
      <c r="Q36" s="18" t="n">
        <v>5.86146189</v>
      </c>
      <c r="R36" s="20" t="n">
        <v>1.241158</v>
      </c>
    </row>
    <row r="37" spans="1:18">
      <c r="A37" s="15" t="s">
        <v>379</v>
      </c>
      <c r="B37" s="17" t="n">
        <v>2731</v>
      </c>
      <c r="C37" s="18">
        <f>(2383.0/B37*100)</f>
        <v/>
      </c>
      <c r="D37" s="19" t="n">
        <v>348</v>
      </c>
      <c r="E37" s="18" t="n">
        <v>27.90623186</v>
      </c>
      <c r="F37" s="20" t="n">
        <v>2.51060386</v>
      </c>
      <c r="G37" s="18" t="n">
        <v>65.15332868</v>
      </c>
      <c r="H37" s="20" t="n">
        <v>2.47383268</v>
      </c>
      <c r="I37" s="18" t="s">
        <v>349</v>
      </c>
      <c r="J37" s="20" t="s">
        <v>349</v>
      </c>
      <c r="K37" s="18" t="n">
        <v>0</v>
      </c>
      <c r="L37" s="20" t="n">
        <v>0</v>
      </c>
      <c r="M37" s="18" t="n">
        <v>0</v>
      </c>
      <c r="N37" s="20" t="n">
        <v>0</v>
      </c>
      <c r="O37" s="18" t="n">
        <v>0</v>
      </c>
      <c r="P37" s="20" t="n">
        <v>0</v>
      </c>
      <c r="Q37" s="18" t="n">
        <v>6.94043946</v>
      </c>
      <c r="R37" s="20" t="n">
        <v>1.2890876</v>
      </c>
    </row>
    <row r="38" spans="1:18">
      <c r="A38" s="15" t="s">
        <v>380</v>
      </c>
      <c r="B38" s="17" t="n">
        <v>2807</v>
      </c>
      <c r="C38" s="18">
        <f>(2328.0/B38*100)</f>
        <v/>
      </c>
      <c r="D38" s="19" t="n">
        <v>479</v>
      </c>
      <c r="E38" s="18" t="n">
        <v>32.42716354</v>
      </c>
      <c r="F38" s="20" t="n">
        <v>2.32698596</v>
      </c>
      <c r="G38" s="18" t="n">
        <v>62.54447199</v>
      </c>
      <c r="H38" s="20" t="n">
        <v>2.36029343</v>
      </c>
      <c r="I38" s="18" t="s">
        <v>349</v>
      </c>
      <c r="J38" s="20" t="s">
        <v>349</v>
      </c>
      <c r="K38" s="18" t="n">
        <v>0.05910361</v>
      </c>
      <c r="L38" s="20" t="n">
        <v>0.04004098</v>
      </c>
      <c r="M38" s="18" t="n">
        <v>0</v>
      </c>
      <c r="N38" s="20" t="n">
        <v>0</v>
      </c>
      <c r="O38" s="18" t="n">
        <v>0</v>
      </c>
      <c r="P38" s="20" t="n">
        <v>0</v>
      </c>
      <c r="Q38" s="18" t="n">
        <v>4.96926086</v>
      </c>
      <c r="R38" s="20" t="n">
        <v>1.11609414</v>
      </c>
    </row>
    <row r="39" spans="1:18">
      <c r="A39" s="15" t="s">
        <v>381</v>
      </c>
      <c r="B39" s="17" t="n">
        <v>2938</v>
      </c>
      <c r="C39" s="18">
        <f>(2601.0/B39*100)</f>
        <v/>
      </c>
      <c r="D39" s="19" t="n">
        <v>337</v>
      </c>
      <c r="E39" s="18" t="n">
        <v>32.7057671</v>
      </c>
      <c r="F39" s="20" t="n">
        <v>3.63071058</v>
      </c>
      <c r="G39" s="18" t="n">
        <v>64.99178295999999</v>
      </c>
      <c r="H39" s="20" t="n">
        <v>3.75477421</v>
      </c>
      <c r="I39" s="18" t="s">
        <v>349</v>
      </c>
      <c r="J39" s="20" t="s">
        <v>349</v>
      </c>
      <c r="K39" s="18" t="n">
        <v>1.25801483</v>
      </c>
      <c r="L39" s="20" t="n">
        <v>0.60979012</v>
      </c>
      <c r="M39" s="18" t="n">
        <v>0</v>
      </c>
      <c r="N39" s="20" t="n">
        <v>0</v>
      </c>
      <c r="O39" s="18" t="n">
        <v>0</v>
      </c>
      <c r="P39" s="20" t="n">
        <v>0</v>
      </c>
      <c r="Q39" s="18" t="n">
        <v>1.04443511</v>
      </c>
      <c r="R39" s="20" t="n">
        <v>0.46554808</v>
      </c>
    </row>
    <row r="40" spans="1:18">
      <c r="A40" s="15" t="s">
        <v>382</v>
      </c>
      <c r="B40" s="17" t="n">
        <v>6922</v>
      </c>
      <c r="C40" s="18">
        <f>(6092.0/B40*100)</f>
        <v/>
      </c>
      <c r="D40" s="19" t="n">
        <v>830</v>
      </c>
      <c r="E40" s="18" t="n">
        <v>26.60360355</v>
      </c>
      <c r="F40" s="20" t="n">
        <v>2.35397421</v>
      </c>
      <c r="G40" s="18" t="n">
        <v>70.0353604</v>
      </c>
      <c r="H40" s="20" t="n">
        <v>2.37979212</v>
      </c>
      <c r="I40" s="18" t="s">
        <v>349</v>
      </c>
      <c r="J40" s="20" t="s">
        <v>349</v>
      </c>
      <c r="K40" s="18" t="n">
        <v>0.0191013</v>
      </c>
      <c r="L40" s="20" t="n">
        <v>0.01973283</v>
      </c>
      <c r="M40" s="18" t="n">
        <v>0</v>
      </c>
      <c r="N40" s="20" t="n">
        <v>0</v>
      </c>
      <c r="O40" s="18" t="n">
        <v>0</v>
      </c>
      <c r="P40" s="20" t="n">
        <v>0</v>
      </c>
      <c r="Q40" s="18" t="n">
        <v>3.34193475</v>
      </c>
      <c r="R40" s="20" t="n">
        <v>1.05098555</v>
      </c>
    </row>
    <row r="41" spans="1:18">
      <c r="A41" s="15" t="s">
        <v>383</v>
      </c>
      <c r="B41" s="17" t="n">
        <v>2854</v>
      </c>
      <c r="C41" s="18">
        <f>(2505.0/B41*100)</f>
        <v/>
      </c>
      <c r="D41" s="19" t="n">
        <v>349</v>
      </c>
      <c r="E41" s="18" t="n">
        <v>33.72355165</v>
      </c>
      <c r="F41" s="20" t="n">
        <v>2.49745141</v>
      </c>
      <c r="G41" s="18" t="n">
        <v>66.27644835</v>
      </c>
      <c r="H41" s="20" t="n">
        <v>2.49745141</v>
      </c>
      <c r="I41" s="18" t="s">
        <v>349</v>
      </c>
      <c r="J41" s="20" t="s">
        <v>349</v>
      </c>
      <c r="K41" s="18" t="n">
        <v>0</v>
      </c>
      <c r="L41" s="20" t="n">
        <v>0</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(10744.0/B46*100)</f>
        <v/>
      </c>
      <c r="D46" s="19" t="n">
        <v>1329</v>
      </c>
      <c r="E46" s="18" t="n">
        <v>66.71642792999999</v>
      </c>
      <c r="F46" s="20" t="n">
        <v>1.83373428</v>
      </c>
      <c r="G46" s="18" t="n">
        <v>17.95591942</v>
      </c>
      <c r="H46" s="20" t="n">
        <v>1.80775105</v>
      </c>
      <c r="I46" s="18" t="s">
        <v>349</v>
      </c>
      <c r="J46" s="20" t="s">
        <v>349</v>
      </c>
      <c r="K46" s="18" t="n">
        <v>0.5925977</v>
      </c>
      <c r="L46" s="20" t="n">
        <v>0.29053747</v>
      </c>
      <c r="M46" s="18" t="n">
        <v>0</v>
      </c>
      <c r="N46" s="20" t="n">
        <v>0</v>
      </c>
      <c r="O46" s="18" t="n">
        <v>0</v>
      </c>
      <c r="P46" s="20" t="n">
        <v>0</v>
      </c>
      <c r="Q46" s="18" t="n">
        <v>14.73505494</v>
      </c>
      <c r="R46" s="20" t="n">
        <v>1.43138557</v>
      </c>
    </row>
    <row r="47" spans="1:18">
      <c r="A47" s="15" t="s">
        <v>389</v>
      </c>
      <c r="B47" s="17" t="n">
        <v>2823</v>
      </c>
      <c r="C47" s="18">
        <f>(2472.0/B47*100)</f>
        <v/>
      </c>
      <c r="D47" s="19" t="n">
        <v>351</v>
      </c>
      <c r="E47" s="18" t="n">
        <v>39.19457948</v>
      </c>
      <c r="F47" s="20" t="n">
        <v>3.17872653</v>
      </c>
      <c r="G47" s="18" t="n">
        <v>54.84992299</v>
      </c>
      <c r="H47" s="20" t="n">
        <v>3.30295118</v>
      </c>
      <c r="I47" s="18" t="s">
        <v>349</v>
      </c>
      <c r="J47" s="20" t="s">
        <v>349</v>
      </c>
      <c r="K47" s="18" t="n">
        <v>0</v>
      </c>
      <c r="L47" s="20" t="n">
        <v>0</v>
      </c>
      <c r="M47" s="18" t="n">
        <v>0</v>
      </c>
      <c r="N47" s="20" t="n">
        <v>0</v>
      </c>
      <c r="O47" s="18" t="n">
        <v>0</v>
      </c>
      <c r="P47" s="20" t="n">
        <v>0</v>
      </c>
      <c r="Q47" s="18" t="n">
        <v>5.95549753</v>
      </c>
      <c r="R47" s="20" t="n">
        <v>1.36144978</v>
      </c>
    </row>
    <row r="48" spans="1:18">
      <c r="A48" s="15" t="s">
        <v>390</v>
      </c>
      <c r="B48" s="17" t="n">
        <v>4682</v>
      </c>
      <c r="C48" s="18">
        <f>(4108.0/B48*100)</f>
        <v/>
      </c>
      <c r="D48" s="19" t="n">
        <v>574</v>
      </c>
      <c r="E48" s="18" t="n">
        <v>28.06891586</v>
      </c>
      <c r="F48" s="20" t="n">
        <v>3.12640335</v>
      </c>
      <c r="G48" s="18" t="n">
        <v>71.0422319</v>
      </c>
      <c r="H48" s="20" t="n">
        <v>3.02257602</v>
      </c>
      <c r="I48" s="18" t="s">
        <v>349</v>
      </c>
      <c r="J48" s="20" t="s">
        <v>349</v>
      </c>
      <c r="K48" s="18" t="n">
        <v>0</v>
      </c>
      <c r="L48" s="20" t="n">
        <v>0</v>
      </c>
      <c r="M48" s="18" t="n">
        <v>0</v>
      </c>
      <c r="N48" s="20" t="n">
        <v>0</v>
      </c>
      <c r="O48" s="18" t="n">
        <v>0</v>
      </c>
      <c r="P48" s="20" t="n">
        <v>0</v>
      </c>
      <c r="Q48" s="18" t="n">
        <v>0.88885224</v>
      </c>
      <c r="R48" s="20" t="n">
        <v>0.52293248</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(5437.0/B50*100)</f>
        <v/>
      </c>
      <c r="D50" s="19" t="n">
        <v>721</v>
      </c>
      <c r="E50" s="18" t="n">
        <v>63.11170294</v>
      </c>
      <c r="F50" s="20" t="n">
        <v>2.55569296</v>
      </c>
      <c r="G50" s="18" t="n">
        <v>32.65454672</v>
      </c>
      <c r="H50" s="20" t="n">
        <v>2.6323806</v>
      </c>
      <c r="I50" s="18" t="s">
        <v>349</v>
      </c>
      <c r="J50" s="20" t="s">
        <v>349</v>
      </c>
      <c r="K50" s="18" t="n">
        <v>0.7589483</v>
      </c>
      <c r="L50" s="20" t="n">
        <v>0.37943161</v>
      </c>
      <c r="M50" s="18" t="n">
        <v>0</v>
      </c>
      <c r="N50" s="20" t="n">
        <v>0</v>
      </c>
      <c r="O50" s="18" t="n">
        <v>0</v>
      </c>
      <c r="P50" s="20" t="n">
        <v>0</v>
      </c>
      <c r="Q50" s="18" t="n">
        <v>3.47480204</v>
      </c>
      <c r="R50" s="20" t="n">
        <v>0.77650589</v>
      </c>
    </row>
    <row r="51" spans="1:18">
      <c r="A51" s="15" t="s">
        <v>393</v>
      </c>
      <c r="B51" s="17" t="n">
        <v>3494</v>
      </c>
      <c r="C51" s="18">
        <f>(3129.0/B51*100)</f>
        <v/>
      </c>
      <c r="D51" s="19" t="n">
        <v>365</v>
      </c>
      <c r="E51" s="18" t="n">
        <v>62.3825393</v>
      </c>
      <c r="F51" s="20" t="n">
        <v>2.60134211</v>
      </c>
      <c r="G51" s="18" t="n">
        <v>34.6927561</v>
      </c>
      <c r="H51" s="20" t="n">
        <v>2.42923172</v>
      </c>
      <c r="I51" s="18" t="s">
        <v>349</v>
      </c>
      <c r="J51" s="20" t="s">
        <v>349</v>
      </c>
      <c r="K51" s="18" t="n">
        <v>0</v>
      </c>
      <c r="L51" s="20" t="n">
        <v>0</v>
      </c>
      <c r="M51" s="18" t="n">
        <v>0</v>
      </c>
      <c r="N51" s="20" t="n">
        <v>0</v>
      </c>
      <c r="O51" s="18" t="n">
        <v>0</v>
      </c>
      <c r="P51" s="20" t="n">
        <v>0</v>
      </c>
      <c r="Q51" s="18" t="n">
        <v>2.9247046</v>
      </c>
      <c r="R51" s="20" t="n">
        <v>0.97404907</v>
      </c>
    </row>
    <row r="52" spans="1:18">
      <c r="A52" s="15" t="s">
        <v>394</v>
      </c>
      <c r="B52" s="17" t="n">
        <v>3013</v>
      </c>
      <c r="C52" s="18">
        <f>(2652.0/B52*100)</f>
        <v/>
      </c>
      <c r="D52" s="19" t="n">
        <v>361</v>
      </c>
      <c r="E52" s="18" t="n">
        <v>53.10269882</v>
      </c>
      <c r="F52" s="20" t="n">
        <v>2.5183017</v>
      </c>
      <c r="G52" s="18" t="n">
        <v>37.8193154</v>
      </c>
      <c r="H52" s="20" t="n">
        <v>2.31170702</v>
      </c>
      <c r="I52" s="18" t="s">
        <v>349</v>
      </c>
      <c r="J52" s="20" t="s">
        <v>349</v>
      </c>
      <c r="K52" s="18" t="n">
        <v>0</v>
      </c>
      <c r="L52" s="20" t="n">
        <v>0</v>
      </c>
      <c r="M52" s="18" t="n">
        <v>0</v>
      </c>
      <c r="N52" s="20" t="n">
        <v>0</v>
      </c>
      <c r="O52" s="18" t="n">
        <v>0</v>
      </c>
      <c r="P52" s="20" t="n">
        <v>0</v>
      </c>
      <c r="Q52" s="18" t="n">
        <v>9.077985780000001</v>
      </c>
      <c r="R52" s="20" t="n">
        <v>1.63758309</v>
      </c>
    </row>
    <row r="53" spans="1:18">
      <c r="A53" s="15" t="s">
        <v>395</v>
      </c>
      <c r="B53" s="17" t="n">
        <v>2760</v>
      </c>
      <c r="C53" s="18">
        <f>(2430.0/B53*100)</f>
        <v/>
      </c>
      <c r="D53" s="19" t="n">
        <v>330</v>
      </c>
      <c r="E53" s="18" t="n">
        <v>42.95968979</v>
      </c>
      <c r="F53" s="20" t="n">
        <v>3.03332315</v>
      </c>
      <c r="G53" s="18" t="n">
        <v>52.98811946</v>
      </c>
      <c r="H53" s="20" t="n">
        <v>3.03829046</v>
      </c>
      <c r="I53" s="18" t="s">
        <v>349</v>
      </c>
      <c r="J53" s="20" t="s">
        <v>349</v>
      </c>
      <c r="K53" s="18" t="n">
        <v>0</v>
      </c>
      <c r="L53" s="20" t="n">
        <v>0</v>
      </c>
      <c r="M53" s="18" t="n">
        <v>0</v>
      </c>
      <c r="N53" s="20" t="n">
        <v>0</v>
      </c>
      <c r="O53" s="18" t="n">
        <v>0</v>
      </c>
      <c r="P53" s="20" t="n">
        <v>0</v>
      </c>
      <c r="Q53" s="18" t="n">
        <v>4.05219076</v>
      </c>
      <c r="R53" s="20" t="n">
        <v>1.14365759</v>
      </c>
    </row>
    <row r="54" spans="1:18">
      <c r="A54" s="15" t="s">
        <v>396</v>
      </c>
      <c r="B54" s="17" t="n">
        <v>2474</v>
      </c>
      <c r="C54" s="18">
        <f>(2046.0/B54*100)</f>
        <v/>
      </c>
      <c r="D54" s="19" t="n">
        <v>428</v>
      </c>
      <c r="E54" s="18" t="n">
        <v>65.74237761000001</v>
      </c>
      <c r="F54" s="20" t="n">
        <v>2.4285189</v>
      </c>
      <c r="G54" s="18" t="n">
        <v>14.30688069</v>
      </c>
      <c r="H54" s="20" t="n">
        <v>1.8933755</v>
      </c>
      <c r="I54" s="18" t="s">
        <v>349</v>
      </c>
      <c r="J54" s="20" t="s">
        <v>349</v>
      </c>
      <c r="K54" s="18" t="n">
        <v>7.30561508</v>
      </c>
      <c r="L54" s="20" t="n">
        <v>1.2885934</v>
      </c>
      <c r="M54" s="18" t="n">
        <v>0</v>
      </c>
      <c r="N54" s="20" t="n">
        <v>0</v>
      </c>
      <c r="O54" s="18" t="n">
        <v>0</v>
      </c>
      <c r="P54" s="20" t="n">
        <v>0</v>
      </c>
      <c r="Q54" s="18" t="n">
        <v>12.64512663</v>
      </c>
      <c r="R54" s="20" t="n">
        <v>1.74832784</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21.36951127</v>
      </c>
      <c r="F56" s="20" t="n">
        <v>2.57340104</v>
      </c>
      <c r="G56" s="18" t="n">
        <v>76.54805938</v>
      </c>
      <c r="H56" s="20" t="n">
        <v>2.66571399</v>
      </c>
      <c r="I56" s="18" t="s">
        <v>349</v>
      </c>
      <c r="J56" s="20" t="s">
        <v>349</v>
      </c>
      <c r="K56" s="18" t="n">
        <v>0</v>
      </c>
      <c r="L56" s="20" t="n">
        <v>0</v>
      </c>
      <c r="M56" s="18" t="n">
        <v>0</v>
      </c>
      <c r="N56" s="20" t="n">
        <v>0</v>
      </c>
      <c r="O56" s="18" t="n">
        <v>0</v>
      </c>
      <c r="P56" s="20" t="n">
        <v>0</v>
      </c>
      <c r="Q56" s="18" t="n">
        <v>2.08242935</v>
      </c>
      <c r="R56" s="20" t="n">
        <v>0.92578171</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(2788.0/B61*100)</f>
        <v/>
      </c>
      <c r="D61" s="19" t="n">
        <v>413</v>
      </c>
      <c r="E61" s="18" t="n">
        <v>32.08766323</v>
      </c>
      <c r="F61" s="20" t="n">
        <v>2.50471618</v>
      </c>
      <c r="G61" s="18" t="n">
        <v>63.84668817</v>
      </c>
      <c r="H61" s="20" t="n">
        <v>2.65039122</v>
      </c>
      <c r="I61" s="18" t="s">
        <v>349</v>
      </c>
      <c r="J61" s="20" t="s">
        <v>349</v>
      </c>
      <c r="K61" s="18" t="n">
        <v>0.7110423299999999</v>
      </c>
      <c r="L61" s="20" t="n">
        <v>0.69304611</v>
      </c>
      <c r="M61" s="18" t="n">
        <v>0</v>
      </c>
      <c r="N61" s="20" t="n">
        <v>0</v>
      </c>
      <c r="O61" s="18" t="n">
        <v>0</v>
      </c>
      <c r="P61" s="20" t="n">
        <v>0</v>
      </c>
      <c r="Q61" s="18" t="n">
        <v>3.35460627</v>
      </c>
      <c r="R61" s="20" t="n">
        <v>0.90002021</v>
      </c>
    </row>
    <row r="62" spans="1:18">
      <c r="A62" s="15" t="s">
        <v>404</v>
      </c>
      <c r="B62" s="17" t="n">
        <v>2230</v>
      </c>
      <c r="C62" s="18">
        <f>(1959.0/B62*100)</f>
        <v/>
      </c>
      <c r="D62" s="19" t="n">
        <v>271</v>
      </c>
      <c r="E62" s="18" t="n">
        <v>28.36478655</v>
      </c>
      <c r="F62" s="20" t="n">
        <v>2.60732166</v>
      </c>
      <c r="G62" s="18" t="n">
        <v>70.90165623999999</v>
      </c>
      <c r="H62" s="20" t="n">
        <v>2.70970641</v>
      </c>
      <c r="I62" s="18" t="s">
        <v>349</v>
      </c>
      <c r="J62" s="20" t="s">
        <v>349</v>
      </c>
      <c r="K62" s="18" t="n">
        <v>0</v>
      </c>
      <c r="L62" s="20" t="n">
        <v>0</v>
      </c>
      <c r="M62" s="18" t="n">
        <v>0</v>
      </c>
      <c r="N62" s="20" t="n">
        <v>0</v>
      </c>
      <c r="O62" s="18" t="n">
        <v>0</v>
      </c>
      <c r="P62" s="20" t="n">
        <v>0</v>
      </c>
      <c r="Q62" s="18" t="n">
        <v>0.73355721</v>
      </c>
      <c r="R62" s="20" t="n">
        <v>0.50517605</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(2437.0/B66*100)</f>
        <v/>
      </c>
      <c r="D66" s="19" t="n">
        <v>334</v>
      </c>
      <c r="E66" s="18" t="n">
        <v>37.62345084</v>
      </c>
      <c r="F66" s="20" t="n">
        <v>2.85470547</v>
      </c>
      <c r="G66" s="18" t="n">
        <v>41.26911511</v>
      </c>
      <c r="H66" s="20" t="n">
        <v>2.95730406</v>
      </c>
      <c r="I66" s="18" t="s">
        <v>349</v>
      </c>
      <c r="J66" s="20" t="s">
        <v>349</v>
      </c>
      <c r="K66" s="18" t="n">
        <v>0.53066177</v>
      </c>
      <c r="L66" s="20" t="n">
        <v>0.37042511</v>
      </c>
      <c r="M66" s="18" t="n">
        <v>0</v>
      </c>
      <c r="N66" s="20" t="n">
        <v>0</v>
      </c>
      <c r="O66" s="18" t="n">
        <v>0</v>
      </c>
      <c r="P66" s="20" t="n">
        <v>0</v>
      </c>
      <c r="Q66" s="18" t="n">
        <v>20.57677228</v>
      </c>
      <c r="R66" s="20" t="n">
        <v>2.0394098</v>
      </c>
    </row>
    <row r="67" spans="1:18">
      <c r="A67" s="15" t="s">
        <v>409</v>
      </c>
      <c r="B67" s="17" t="n">
        <v>3460</v>
      </c>
      <c r="C67" s="18">
        <f>(3063.0/B67*100)</f>
        <v/>
      </c>
      <c r="D67" s="19" t="n">
        <v>397</v>
      </c>
      <c r="E67" s="18" t="n">
        <v>60.69901053</v>
      </c>
      <c r="F67" s="20" t="n">
        <v>2.34099816</v>
      </c>
      <c r="G67" s="18" t="n">
        <v>30.79100753</v>
      </c>
      <c r="H67" s="20" t="n">
        <v>2.12091299</v>
      </c>
      <c r="I67" s="18" t="s">
        <v>349</v>
      </c>
      <c r="J67" s="20" t="s">
        <v>349</v>
      </c>
      <c r="K67" s="18" t="n">
        <v>0.65609545</v>
      </c>
      <c r="L67" s="20" t="n">
        <v>0.65831714</v>
      </c>
      <c r="M67" s="18" t="n">
        <v>0</v>
      </c>
      <c r="N67" s="20" t="n">
        <v>0</v>
      </c>
      <c r="O67" s="18" t="n">
        <v>0</v>
      </c>
      <c r="P67" s="20" t="n">
        <v>0</v>
      </c>
      <c r="Q67" s="18" t="n">
        <v>7.85388649</v>
      </c>
      <c r="R67" s="20" t="n">
        <v>1.38690378</v>
      </c>
    </row>
    <row r="68" spans="1:18">
      <c r="A68" s="15" t="s">
        <v>410</v>
      </c>
      <c r="B68" s="17" t="n">
        <v>6034</v>
      </c>
      <c r="C68" s="18">
        <f>(5043.0/B68*100)</f>
        <v/>
      </c>
      <c r="D68" s="19" t="n">
        <v>991</v>
      </c>
      <c r="E68" s="18" t="n">
        <v>59.82448383</v>
      </c>
      <c r="F68" s="20" t="n">
        <v>1.5949737</v>
      </c>
      <c r="G68" s="18" t="n">
        <v>35.40656608</v>
      </c>
      <c r="H68" s="20" t="n">
        <v>1.57050478</v>
      </c>
      <c r="I68" s="18" t="s">
        <v>349</v>
      </c>
      <c r="J68" s="20" t="s">
        <v>349</v>
      </c>
      <c r="K68" s="18" t="n">
        <v>0.88334692</v>
      </c>
      <c r="L68" s="20" t="n">
        <v>0.25800451</v>
      </c>
      <c r="M68" s="18" t="n">
        <v>0</v>
      </c>
      <c r="N68" s="20" t="n">
        <v>0</v>
      </c>
      <c r="O68" s="18" t="n">
        <v>0</v>
      </c>
      <c r="P68" s="20" t="n">
        <v>0</v>
      </c>
      <c r="Q68" s="18" t="n">
        <v>3.88560317</v>
      </c>
      <c r="R68" s="20" t="n">
        <v>0.6277085</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(2772.0/B70*100)</f>
        <v/>
      </c>
      <c r="D70" s="19" t="n">
        <v>335</v>
      </c>
      <c r="E70" s="18" t="n">
        <v>28.41094722</v>
      </c>
      <c r="F70" s="20" t="n">
        <v>2.52274792</v>
      </c>
      <c r="G70" s="18" t="n">
        <v>69.18482967</v>
      </c>
      <c r="H70" s="20" t="n">
        <v>2.83587681</v>
      </c>
      <c r="I70" s="18" t="s">
        <v>349</v>
      </c>
      <c r="J70" s="20" t="s">
        <v>349</v>
      </c>
      <c r="K70" s="18" t="n">
        <v>0.35753306</v>
      </c>
      <c r="L70" s="20" t="n">
        <v>0.25458999</v>
      </c>
      <c r="M70" s="18" t="n">
        <v>0</v>
      </c>
      <c r="N70" s="20" t="n">
        <v>0</v>
      </c>
      <c r="O70" s="18" t="n">
        <v>0</v>
      </c>
      <c r="P70" s="20" t="n">
        <v>0</v>
      </c>
      <c r="Q70" s="18" t="n">
        <v>2.04669005</v>
      </c>
      <c r="R70" s="20" t="n">
        <v>1.12474134</v>
      </c>
    </row>
    <row r="71" spans="1:18">
      <c r="A71" s="15" t="s">
        <v>413</v>
      </c>
      <c r="B71" s="17" t="n">
        <v>2973</v>
      </c>
      <c r="C71" s="18">
        <f>(2635.0/B71*100)</f>
        <v/>
      </c>
      <c r="D71" s="19" t="n">
        <v>338</v>
      </c>
      <c r="E71" s="18" t="n">
        <v>24.80399481</v>
      </c>
      <c r="F71" s="20" t="n">
        <v>2.29933628</v>
      </c>
      <c r="G71" s="18" t="n">
        <v>75.19600518999999</v>
      </c>
      <c r="H71" s="20" t="n">
        <v>2.29933628</v>
      </c>
      <c r="I71" s="18" t="s">
        <v>349</v>
      </c>
      <c r="J71" s="20" t="s">
        <v>349</v>
      </c>
      <c r="K71" s="18" t="n">
        <v>0</v>
      </c>
      <c r="L71" s="20" t="n">
        <v>0</v>
      </c>
      <c r="M71" s="18" t="n">
        <v>0</v>
      </c>
      <c r="N71" s="20" t="n">
        <v>0</v>
      </c>
      <c r="O71" s="18" t="n">
        <v>0</v>
      </c>
      <c r="P71" s="20" t="n">
        <v>0</v>
      </c>
      <c r="Q71" s="18" t="n">
        <v>0</v>
      </c>
      <c r="R71" s="20" t="n">
        <v>0</v>
      </c>
    </row>
    <row r="72" spans="1:18">
      <c r="A72" s="15" t="s">
        <v>414</v>
      </c>
      <c r="B72" s="17" t="n">
        <v>3819</v>
      </c>
      <c r="C72" s="18">
        <f>(3352.0/B72*100)</f>
        <v/>
      </c>
      <c r="D72" s="19" t="n">
        <v>467</v>
      </c>
      <c r="E72" s="18" t="n">
        <v>24.73871881</v>
      </c>
      <c r="F72" s="20" t="n">
        <v>2.24310309</v>
      </c>
      <c r="G72" s="18" t="n">
        <v>73.82529731</v>
      </c>
      <c r="H72" s="20" t="n">
        <v>2.16688434</v>
      </c>
      <c r="I72" s="18" t="s">
        <v>349</v>
      </c>
      <c r="J72" s="20" t="s">
        <v>349</v>
      </c>
      <c r="K72" s="18" t="n">
        <v>0</v>
      </c>
      <c r="L72" s="20" t="n">
        <v>0</v>
      </c>
      <c r="M72" s="18" t="n">
        <v>0</v>
      </c>
      <c r="N72" s="20" t="n">
        <v>0</v>
      </c>
      <c r="O72" s="18" t="n">
        <v>0</v>
      </c>
      <c r="P72" s="20" t="n">
        <v>0</v>
      </c>
      <c r="Q72" s="18" t="n">
        <v>1.43598389</v>
      </c>
      <c r="R72" s="20" t="n">
        <v>0.6056167</v>
      </c>
    </row>
    <row r="73" spans="1:18">
      <c r="A73" s="15" t="s">
        <v>415</v>
      </c>
      <c r="B73" s="17" t="n">
        <v>4652</v>
      </c>
      <c r="C73" s="18">
        <f>(4073.0/B73*100)</f>
        <v/>
      </c>
      <c r="D73" s="19" t="n">
        <v>579</v>
      </c>
      <c r="E73" s="18" t="n">
        <v>56.46489189</v>
      </c>
      <c r="F73" s="20" t="n">
        <v>2.55714954</v>
      </c>
      <c r="G73" s="18" t="n">
        <v>42.77676881</v>
      </c>
      <c r="H73" s="20" t="n">
        <v>2.59901701</v>
      </c>
      <c r="I73" s="18" t="s">
        <v>349</v>
      </c>
      <c r="J73" s="20" t="s">
        <v>349</v>
      </c>
      <c r="K73" s="18" t="n">
        <v>0</v>
      </c>
      <c r="L73" s="20" t="n">
        <v>0</v>
      </c>
      <c r="M73" s="18" t="n">
        <v>0</v>
      </c>
      <c r="N73" s="20" t="n">
        <v>0</v>
      </c>
      <c r="O73" s="18" t="n">
        <v>0</v>
      </c>
      <c r="P73" s="20" t="n">
        <v>0</v>
      </c>
      <c r="Q73" s="18" t="n">
        <v>0.7583393</v>
      </c>
      <c r="R73" s="20" t="n">
        <v>0.43693429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(2616.0/B75*100)</f>
        <v/>
      </c>
      <c r="D75" s="19" t="n">
        <v>353</v>
      </c>
      <c r="E75" s="18" t="n">
        <v>69.15536417</v>
      </c>
      <c r="F75" s="20" t="n">
        <v>2.85610004</v>
      </c>
      <c r="G75" s="18" t="n">
        <v>14.79673348</v>
      </c>
      <c r="H75" s="20" t="n">
        <v>1.96878968</v>
      </c>
      <c r="I75" s="18" t="s">
        <v>349</v>
      </c>
      <c r="J75" s="20" t="s">
        <v>349</v>
      </c>
      <c r="K75" s="18" t="n">
        <v>2.47265104</v>
      </c>
      <c r="L75" s="20" t="n">
        <v>0.8515616499999999</v>
      </c>
      <c r="M75" s="18" t="n">
        <v>0</v>
      </c>
      <c r="N75" s="20" t="n">
        <v>0</v>
      </c>
      <c r="O75" s="18" t="n">
        <v>0</v>
      </c>
      <c r="P75" s="20" t="n">
        <v>0</v>
      </c>
      <c r="Q75" s="18" t="n">
        <v>13.57525131</v>
      </c>
      <c r="R75" s="20" t="n">
        <v>2.08031224</v>
      </c>
    </row>
    <row r="76" spans="1:18">
      <c r="A76" s="15" t="s">
        <v>418</v>
      </c>
      <c r="B76" s="17" t="n">
        <v>7115</v>
      </c>
      <c r="C76" s="18">
        <f>(6279.0/B76*100)</f>
        <v/>
      </c>
      <c r="D76" s="19" t="n">
        <v>836</v>
      </c>
      <c r="E76" s="18" t="n">
        <v>56.11243621</v>
      </c>
      <c r="F76" s="20" t="n">
        <v>2.44156344</v>
      </c>
      <c r="G76" s="18" t="n">
        <v>41.25938433</v>
      </c>
      <c r="H76" s="20" t="n">
        <v>2.36237239</v>
      </c>
      <c r="I76" s="18" t="s">
        <v>349</v>
      </c>
      <c r="J76" s="20" t="s">
        <v>349</v>
      </c>
      <c r="K76" s="18" t="n">
        <v>0.52351461</v>
      </c>
      <c r="L76" s="20" t="n">
        <v>0.29795864</v>
      </c>
      <c r="M76" s="18" t="n">
        <v>0</v>
      </c>
      <c r="N76" s="20" t="n">
        <v>0</v>
      </c>
      <c r="O76" s="18" t="n">
        <v>0</v>
      </c>
      <c r="P76" s="20" t="n">
        <v>0</v>
      </c>
      <c r="Q76" s="18" t="n">
        <v>2.10466486</v>
      </c>
      <c r="R76" s="20" t="n">
        <v>0.5712285</v>
      </c>
    </row>
    <row r="77" spans="1:18">
      <c r="A77" s="15" t="s">
        <v>419</v>
      </c>
      <c r="B77" s="17" t="n">
        <v>3154</v>
      </c>
      <c r="C77" s="18">
        <f>(2775.0/B77*100)</f>
        <v/>
      </c>
      <c r="D77" s="19" t="n">
        <v>379</v>
      </c>
      <c r="E77" s="18" t="n">
        <v>39.15110325</v>
      </c>
      <c r="F77" s="20" t="n">
        <v>2.84518945</v>
      </c>
      <c r="G77" s="18" t="n">
        <v>50.92575456</v>
      </c>
      <c r="H77" s="20" t="n">
        <v>2.54386044</v>
      </c>
      <c r="I77" s="18" t="s">
        <v>349</v>
      </c>
      <c r="J77" s="20" t="s">
        <v>349</v>
      </c>
      <c r="K77" s="18" t="n">
        <v>1.04359564</v>
      </c>
      <c r="L77" s="20" t="n">
        <v>0.57142061</v>
      </c>
      <c r="M77" s="18" t="n">
        <v>0</v>
      </c>
      <c r="N77" s="20" t="n">
        <v>0</v>
      </c>
      <c r="O77" s="18" t="n">
        <v>0</v>
      </c>
      <c r="P77" s="20" t="n">
        <v>0</v>
      </c>
      <c r="Q77" s="18" t="n">
        <v>8.87954654</v>
      </c>
      <c r="R77" s="20" t="n">
        <v>1.5295174</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(4126.0/B81*100)</f>
        <v/>
      </c>
      <c r="D81" s="19" t="n">
        <v>572</v>
      </c>
      <c r="E81" s="18" t="n">
        <v>69.72993189</v>
      </c>
      <c r="F81" s="20" t="n">
        <v>2.50391889</v>
      </c>
      <c r="G81" s="18" t="n">
        <v>29.36761848</v>
      </c>
      <c r="H81" s="20" t="n">
        <v>2.455504</v>
      </c>
      <c r="I81" s="18" t="s">
        <v>349</v>
      </c>
      <c r="J81" s="20" t="s">
        <v>349</v>
      </c>
      <c r="K81" s="18" t="n">
        <v>0.28127684</v>
      </c>
      <c r="L81" s="20" t="n">
        <v>0.27846066</v>
      </c>
      <c r="M81" s="18" t="n">
        <v>0</v>
      </c>
      <c r="N81" s="20" t="n">
        <v>0</v>
      </c>
      <c r="O81" s="18" t="n">
        <v>0</v>
      </c>
      <c r="P81" s="20" t="n">
        <v>0</v>
      </c>
      <c r="Q81" s="18" t="n">
        <v>0.62117278</v>
      </c>
      <c r="R81" s="20" t="n">
        <v>0.42595143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(6307.0/B7*100)</f>
        <v/>
      </c>
      <c r="D7" s="19" t="n">
        <v>856</v>
      </c>
      <c r="E7" s="18" t="n">
        <v>73.60138191</v>
      </c>
      <c r="F7" s="20" t="n">
        <v>1.74392076</v>
      </c>
      <c r="G7" s="18" t="n">
        <v>7.93282248</v>
      </c>
      <c r="H7" s="20" t="n">
        <v>1.10217422</v>
      </c>
      <c r="I7" s="18" t="s">
        <v>349</v>
      </c>
      <c r="J7" s="20" t="s">
        <v>349</v>
      </c>
      <c r="K7" s="18" t="n">
        <v>0.52656866</v>
      </c>
      <c r="L7" s="20" t="n">
        <v>0.28750213</v>
      </c>
      <c r="M7" s="18" t="n">
        <v>0</v>
      </c>
      <c r="N7" s="20" t="n">
        <v>0</v>
      </c>
      <c r="O7" s="18" t="n">
        <v>0</v>
      </c>
      <c r="P7" s="20" t="n">
        <v>0</v>
      </c>
      <c r="Q7" s="18" t="n">
        <v>17.93922695</v>
      </c>
      <c r="R7" s="20" t="n">
        <v>1.41201362</v>
      </c>
    </row>
    <row r="8" spans="1:18">
      <c r="A8" s="15" t="s">
        <v>350</v>
      </c>
      <c r="B8" s="17" t="n">
        <v>3443</v>
      </c>
      <c r="C8" s="18">
        <f>(3031.0/B8*100)</f>
        <v/>
      </c>
      <c r="D8" s="19" t="n">
        <v>412</v>
      </c>
      <c r="E8" s="18" t="n">
        <v>70.48026013</v>
      </c>
      <c r="F8" s="20" t="n">
        <v>2.19642648</v>
      </c>
      <c r="G8" s="18" t="n">
        <v>6.49175214</v>
      </c>
      <c r="H8" s="20" t="n">
        <v>1.17624201</v>
      </c>
      <c r="I8" s="18" t="s">
        <v>349</v>
      </c>
      <c r="J8" s="20" t="s">
        <v>349</v>
      </c>
      <c r="K8" s="18" t="n">
        <v>0</v>
      </c>
      <c r="L8" s="20" t="n">
        <v>0</v>
      </c>
      <c r="M8" s="18" t="n">
        <v>0</v>
      </c>
      <c r="N8" s="20" t="n">
        <v>0</v>
      </c>
      <c r="O8" s="18" t="n">
        <v>0</v>
      </c>
      <c r="P8" s="20" t="n">
        <v>0</v>
      </c>
      <c r="Q8" s="18" t="n">
        <v>23.02798773</v>
      </c>
      <c r="R8" s="20" t="n">
        <v>2.07892287</v>
      </c>
    </row>
    <row r="9" spans="1:18">
      <c r="A9" s="15" t="s">
        <v>351</v>
      </c>
      <c r="B9" s="17" t="n">
        <v>4752</v>
      </c>
      <c r="C9" s="18">
        <f>(4176.0/B9*100)</f>
        <v/>
      </c>
      <c r="D9" s="19" t="n">
        <v>576</v>
      </c>
      <c r="E9" s="18" t="n">
        <v>66.43416465999999</v>
      </c>
      <c r="F9" s="20" t="n">
        <v>2.13032257</v>
      </c>
      <c r="G9" s="18" t="n">
        <v>7.10035472</v>
      </c>
      <c r="H9" s="20" t="n">
        <v>1.01772549</v>
      </c>
      <c r="I9" s="18" t="s">
        <v>349</v>
      </c>
      <c r="J9" s="20" t="s">
        <v>349</v>
      </c>
      <c r="K9" s="18" t="n">
        <v>0.26564116</v>
      </c>
      <c r="L9" s="20" t="n">
        <v>0.25687245</v>
      </c>
      <c r="M9" s="18" t="n">
        <v>0.13036901</v>
      </c>
      <c r="N9" s="20" t="n">
        <v>0.13243961</v>
      </c>
      <c r="O9" s="18" t="n">
        <v>0</v>
      </c>
      <c r="P9" s="20" t="n">
        <v>0</v>
      </c>
      <c r="Q9" s="18" t="n">
        <v>26.06947045</v>
      </c>
      <c r="R9" s="20" t="n">
        <v>2.16282719</v>
      </c>
    </row>
    <row r="10" spans="1:18">
      <c r="A10" s="15" t="s">
        <v>352</v>
      </c>
      <c r="B10" s="17" t="n">
        <v>10022</v>
      </c>
      <c r="C10" s="18">
        <f>(8781.0/B10*100)</f>
        <v/>
      </c>
      <c r="D10" s="19" t="n">
        <v>1241</v>
      </c>
      <c r="E10" s="18" t="n">
        <v>82.43353063000001</v>
      </c>
      <c r="F10" s="20" t="n">
        <v>1.35990363</v>
      </c>
      <c r="G10" s="18" t="n">
        <v>8.232888839999999</v>
      </c>
      <c r="H10" s="20" t="n">
        <v>1.11877923</v>
      </c>
      <c r="I10" s="18" t="s">
        <v>349</v>
      </c>
      <c r="J10" s="20" t="s">
        <v>349</v>
      </c>
      <c r="K10" s="18" t="n">
        <v>0.08506761</v>
      </c>
      <c r="L10" s="20" t="n">
        <v>0.05271951</v>
      </c>
      <c r="M10" s="18" t="n">
        <v>0.47436863</v>
      </c>
      <c r="N10" s="20" t="n">
        <v>0.32685099</v>
      </c>
      <c r="O10" s="18" t="n">
        <v>0</v>
      </c>
      <c r="P10" s="20" t="n">
        <v>0</v>
      </c>
      <c r="Q10" s="18" t="n">
        <v>8.774144290000001</v>
      </c>
      <c r="R10" s="20" t="n">
        <v>1.03710892</v>
      </c>
    </row>
    <row r="11" spans="1:18">
      <c r="A11" s="15" t="s">
        <v>353</v>
      </c>
      <c r="B11" s="17" t="n">
        <v>3500</v>
      </c>
      <c r="C11" s="18">
        <f>(3078.0/B11*100)</f>
        <v/>
      </c>
      <c r="D11" s="19" t="n">
        <v>422</v>
      </c>
      <c r="E11" s="18" t="n">
        <v>60.3307539</v>
      </c>
      <c r="F11" s="20" t="n">
        <v>2.7444371</v>
      </c>
      <c r="G11" s="18" t="n">
        <v>1.10584174</v>
      </c>
      <c r="H11" s="20" t="n">
        <v>0.46116283</v>
      </c>
      <c r="I11" s="18" t="s">
        <v>349</v>
      </c>
      <c r="J11" s="20" t="s">
        <v>349</v>
      </c>
      <c r="K11" s="18" t="n">
        <v>0.60989329</v>
      </c>
      <c r="L11" s="20" t="n">
        <v>0.41523376</v>
      </c>
      <c r="M11" s="18" t="n">
        <v>0</v>
      </c>
      <c r="N11" s="20" t="n">
        <v>0</v>
      </c>
      <c r="O11" s="18" t="n">
        <v>0</v>
      </c>
      <c r="P11" s="20" t="n">
        <v>0</v>
      </c>
      <c r="Q11" s="18" t="n">
        <v>37.95351108</v>
      </c>
      <c r="R11" s="20" t="n">
        <v>2.58072722</v>
      </c>
    </row>
    <row r="12" spans="1:18">
      <c r="A12" s="15" t="s">
        <v>354</v>
      </c>
      <c r="B12" s="17" t="n">
        <v>3422</v>
      </c>
      <c r="C12" s="18">
        <f>(2976.0/B12*100)</f>
        <v/>
      </c>
      <c r="D12" s="19" t="n">
        <v>446</v>
      </c>
      <c r="E12" s="18" t="n">
        <v>58.53351677</v>
      </c>
      <c r="F12" s="20" t="n">
        <v>2.61883883</v>
      </c>
      <c r="G12" s="18" t="n">
        <v>6.44556737</v>
      </c>
      <c r="H12" s="20" t="n">
        <v>1.10669803</v>
      </c>
      <c r="I12" s="18" t="s">
        <v>349</v>
      </c>
      <c r="J12" s="20" t="s">
        <v>349</v>
      </c>
      <c r="K12" s="18" t="n">
        <v>0.0918069</v>
      </c>
      <c r="L12" s="20" t="n">
        <v>0.09040432</v>
      </c>
      <c r="M12" s="18" t="n">
        <v>0</v>
      </c>
      <c r="N12" s="20" t="n">
        <v>0</v>
      </c>
      <c r="O12" s="18" t="n">
        <v>0</v>
      </c>
      <c r="P12" s="20" t="n">
        <v>0</v>
      </c>
      <c r="Q12" s="18" t="n">
        <v>34.92910897</v>
      </c>
      <c r="R12" s="20" t="n">
        <v>2.77580371</v>
      </c>
    </row>
    <row r="13" spans="1:18">
      <c r="A13" s="15" t="s">
        <v>355</v>
      </c>
      <c r="B13" s="17" t="n">
        <v>3602</v>
      </c>
      <c r="C13" s="18">
        <f>(3156.0/B13*100)</f>
        <v/>
      </c>
      <c r="D13" s="19" t="n">
        <v>446</v>
      </c>
      <c r="E13" s="18" t="n">
        <v>75.99455622000001</v>
      </c>
      <c r="F13" s="20" t="n">
        <v>2.41781698</v>
      </c>
      <c r="G13" s="18" t="n">
        <v>4.0684861</v>
      </c>
      <c r="H13" s="20" t="n">
        <v>1.012368</v>
      </c>
      <c r="I13" s="18" t="s">
        <v>349</v>
      </c>
      <c r="J13" s="20" t="s">
        <v>349</v>
      </c>
      <c r="K13" s="18" t="n">
        <v>0.87390208</v>
      </c>
      <c r="L13" s="20" t="n">
        <v>0.56146482</v>
      </c>
      <c r="M13" s="18" t="n">
        <v>0</v>
      </c>
      <c r="N13" s="20" t="n">
        <v>0</v>
      </c>
      <c r="O13" s="18" t="n">
        <v>0</v>
      </c>
      <c r="P13" s="20" t="n">
        <v>0</v>
      </c>
      <c r="Q13" s="18" t="n">
        <v>19.0630556</v>
      </c>
      <c r="R13" s="20" t="n">
        <v>2.25146077</v>
      </c>
    </row>
    <row r="14" spans="1:18">
      <c r="A14" s="15" t="s">
        <v>356</v>
      </c>
      <c r="B14" s="17" t="n">
        <v>2788</v>
      </c>
      <c r="C14" s="18">
        <f>(2425.0/B14*100)</f>
        <v/>
      </c>
      <c r="D14" s="19" t="n">
        <v>363</v>
      </c>
      <c r="E14" s="18" t="n">
        <v>74.74827517</v>
      </c>
      <c r="F14" s="20" t="n">
        <v>2.27900283</v>
      </c>
      <c r="G14" s="18" t="n">
        <v>6.18369064</v>
      </c>
      <c r="H14" s="20" t="n">
        <v>1.45003252</v>
      </c>
      <c r="I14" s="18" t="s">
        <v>349</v>
      </c>
      <c r="J14" s="20" t="s">
        <v>349</v>
      </c>
      <c r="K14" s="18" t="n">
        <v>0</v>
      </c>
      <c r="L14" s="20" t="n">
        <v>0</v>
      </c>
      <c r="M14" s="18" t="n">
        <v>0</v>
      </c>
      <c r="N14" s="20" t="n">
        <v>0</v>
      </c>
      <c r="O14" s="18" t="n">
        <v>0</v>
      </c>
      <c r="P14" s="20" t="n">
        <v>0</v>
      </c>
      <c r="Q14" s="18" t="n">
        <v>19.06803419</v>
      </c>
      <c r="R14" s="20" t="n">
        <v>2.18942155</v>
      </c>
    </row>
    <row r="15" spans="1:18">
      <c r="A15" s="15" t="s">
        <v>357</v>
      </c>
      <c r="B15" s="17" t="n">
        <v>2863</v>
      </c>
      <c r="C15" s="18">
        <f>(2513.0/B15*100)</f>
        <v/>
      </c>
      <c r="D15" s="19" t="n">
        <v>350</v>
      </c>
      <c r="E15" s="18" t="n">
        <v>68.90723826</v>
      </c>
      <c r="F15" s="20" t="n">
        <v>2.72654754</v>
      </c>
      <c r="G15" s="18" t="n">
        <v>5.7741742</v>
      </c>
      <c r="H15" s="20" t="n">
        <v>1.2346057</v>
      </c>
      <c r="I15" s="18" t="s">
        <v>349</v>
      </c>
      <c r="J15" s="20" t="s">
        <v>349</v>
      </c>
      <c r="K15" s="18" t="n">
        <v>0</v>
      </c>
      <c r="L15" s="20" t="n">
        <v>0</v>
      </c>
      <c r="M15" s="18" t="n">
        <v>0</v>
      </c>
      <c r="N15" s="20" t="n">
        <v>0</v>
      </c>
      <c r="O15" s="18" t="n">
        <v>0</v>
      </c>
      <c r="P15" s="20" t="n">
        <v>0</v>
      </c>
      <c r="Q15" s="18" t="n">
        <v>25.31858754</v>
      </c>
      <c r="R15" s="20" t="n">
        <v>2.39282523</v>
      </c>
    </row>
    <row r="16" spans="1:18">
      <c r="A16" s="15" t="s">
        <v>358</v>
      </c>
      <c r="B16" s="17" t="n">
        <v>3111</v>
      </c>
      <c r="C16" s="18">
        <f>(2742.0/B16*100)</f>
        <v/>
      </c>
      <c r="D16" s="19" t="n">
        <v>369</v>
      </c>
      <c r="E16" s="18" t="n">
        <v>62.82198672</v>
      </c>
      <c r="F16" s="20" t="n">
        <v>2.24347715</v>
      </c>
      <c r="G16" s="18" t="n">
        <v>4.82529476</v>
      </c>
      <c r="H16" s="20" t="n">
        <v>1.05289555</v>
      </c>
      <c r="I16" s="18" t="s">
        <v>349</v>
      </c>
      <c r="J16" s="20" t="s">
        <v>349</v>
      </c>
      <c r="K16" s="18" t="n">
        <v>0.52244649</v>
      </c>
      <c r="L16" s="20" t="n">
        <v>0.31638679</v>
      </c>
      <c r="M16" s="18" t="n">
        <v>0</v>
      </c>
      <c r="N16" s="20" t="n">
        <v>0</v>
      </c>
      <c r="O16" s="18" t="n">
        <v>0</v>
      </c>
      <c r="P16" s="20" t="n">
        <v>0</v>
      </c>
      <c r="Q16" s="18" t="n">
        <v>31.83027203</v>
      </c>
      <c r="R16" s="20" t="n">
        <v>2.25115975</v>
      </c>
    </row>
    <row r="17" spans="1:18">
      <c r="A17" s="15" t="s">
        <v>359</v>
      </c>
      <c r="B17" s="17" t="n">
        <v>3197</v>
      </c>
      <c r="C17" s="18">
        <f>(2818.0/B17*100)</f>
        <v/>
      </c>
      <c r="D17" s="19" t="n">
        <v>379</v>
      </c>
      <c r="E17" s="18" t="n">
        <v>67.45413665</v>
      </c>
      <c r="F17" s="20" t="n">
        <v>2.22780378</v>
      </c>
      <c r="G17" s="18" t="n">
        <v>5.0034024</v>
      </c>
      <c r="H17" s="20" t="n">
        <v>1.14351368</v>
      </c>
      <c r="I17" s="18" t="s">
        <v>349</v>
      </c>
      <c r="J17" s="20" t="s">
        <v>349</v>
      </c>
      <c r="K17" s="18" t="n">
        <v>0</v>
      </c>
      <c r="L17" s="20" t="n">
        <v>0</v>
      </c>
      <c r="M17" s="18" t="n">
        <v>0</v>
      </c>
      <c r="N17" s="20" t="n">
        <v>0</v>
      </c>
      <c r="O17" s="18" t="n">
        <v>0</v>
      </c>
      <c r="P17" s="20" t="n">
        <v>0</v>
      </c>
      <c r="Q17" s="18" t="n">
        <v>27.54246095</v>
      </c>
      <c r="R17" s="20" t="n">
        <v>2.47250155</v>
      </c>
    </row>
    <row r="18" spans="1:18">
      <c r="A18" s="15" t="s">
        <v>360</v>
      </c>
      <c r="B18" s="17" t="n">
        <v>2706</v>
      </c>
      <c r="C18" s="18">
        <f>(2365.0/B18*100)</f>
        <v/>
      </c>
      <c r="D18" s="19" t="n">
        <v>341</v>
      </c>
      <c r="E18" s="18" t="n">
        <v>66.33232658999999</v>
      </c>
      <c r="F18" s="20" t="n">
        <v>2.31912221</v>
      </c>
      <c r="G18" s="18" t="n">
        <v>4.64794005</v>
      </c>
      <c r="H18" s="20" t="n">
        <v>1.44178758</v>
      </c>
      <c r="I18" s="18" t="s">
        <v>349</v>
      </c>
      <c r="J18" s="20" t="s">
        <v>349</v>
      </c>
      <c r="K18" s="18" t="n">
        <v>0</v>
      </c>
      <c r="L18" s="20" t="n">
        <v>0</v>
      </c>
      <c r="M18" s="18" t="n">
        <v>0</v>
      </c>
      <c r="N18" s="20" t="n">
        <v>0</v>
      </c>
      <c r="O18" s="18" t="n">
        <v>0</v>
      </c>
      <c r="P18" s="20" t="n">
        <v>0</v>
      </c>
      <c r="Q18" s="18" t="n">
        <v>29.01973335</v>
      </c>
      <c r="R18" s="20" t="n">
        <v>1.98608719</v>
      </c>
    </row>
    <row r="19" spans="1:18">
      <c r="A19" s="15" t="s">
        <v>361</v>
      </c>
      <c r="B19" s="17" t="n">
        <v>2850</v>
      </c>
      <c r="C19" s="18">
        <f>(2493.0/B19*100)</f>
        <v/>
      </c>
      <c r="D19" s="19" t="n">
        <v>357</v>
      </c>
      <c r="E19" s="18" t="n">
        <v>66.23053618</v>
      </c>
      <c r="F19" s="20" t="n">
        <v>2.87341795</v>
      </c>
      <c r="G19" s="18" t="n">
        <v>3.70323141</v>
      </c>
      <c r="H19" s="20" t="n">
        <v>0.70586978</v>
      </c>
      <c r="I19" s="18" t="s">
        <v>349</v>
      </c>
      <c r="J19" s="20" t="s">
        <v>349</v>
      </c>
      <c r="K19" s="18" t="n">
        <v>0.29479445</v>
      </c>
      <c r="L19" s="20" t="n">
        <v>0.29423152</v>
      </c>
      <c r="M19" s="18" t="n">
        <v>0</v>
      </c>
      <c r="N19" s="20" t="n">
        <v>0</v>
      </c>
      <c r="O19" s="18" t="n">
        <v>0</v>
      </c>
      <c r="P19" s="20" t="n">
        <v>0</v>
      </c>
      <c r="Q19" s="18" t="n">
        <v>29.77143796</v>
      </c>
      <c r="R19" s="20" t="n">
        <v>2.72916242</v>
      </c>
    </row>
    <row r="20" spans="1:18">
      <c r="A20" s="15" t="s">
        <v>362</v>
      </c>
      <c r="B20" s="17" t="n">
        <v>1741</v>
      </c>
      <c r="C20" s="18">
        <f>(1536.0/B20*100)</f>
        <v/>
      </c>
      <c r="D20" s="19" t="n">
        <v>205</v>
      </c>
      <c r="E20" s="18" t="n">
        <v>68.65042654</v>
      </c>
      <c r="F20" s="20" t="n">
        <v>3.94437539</v>
      </c>
      <c r="G20" s="18" t="n">
        <v>3.76441578</v>
      </c>
      <c r="H20" s="20" t="n">
        <v>1.38053134</v>
      </c>
      <c r="I20" s="18" t="s">
        <v>349</v>
      </c>
      <c r="J20" s="20" t="s">
        <v>349</v>
      </c>
      <c r="K20" s="18" t="n">
        <v>0.94457937</v>
      </c>
      <c r="L20" s="20" t="n">
        <v>0.67327989</v>
      </c>
      <c r="M20" s="18" t="n">
        <v>0.74882563</v>
      </c>
      <c r="N20" s="20" t="n">
        <v>0.72604382</v>
      </c>
      <c r="O20" s="18" t="n">
        <v>0</v>
      </c>
      <c r="P20" s="20" t="n">
        <v>0</v>
      </c>
      <c r="Q20" s="18" t="n">
        <v>25.89175268</v>
      </c>
      <c r="R20" s="20" t="n">
        <v>3.53630742</v>
      </c>
    </row>
    <row r="21" spans="1:18">
      <c r="A21" s="15" t="s">
        <v>363</v>
      </c>
      <c r="B21" s="17" t="n">
        <v>2833</v>
      </c>
      <c r="C21" s="18">
        <f>(2359.0/B21*100)</f>
        <v/>
      </c>
      <c r="D21" s="19" t="n">
        <v>474</v>
      </c>
      <c r="E21" s="18" t="n">
        <v>80.08314566999999</v>
      </c>
      <c r="F21" s="20" t="n">
        <v>1.76228734</v>
      </c>
      <c r="G21" s="18" t="n">
        <v>3.51691985</v>
      </c>
      <c r="H21" s="20" t="n">
        <v>0.88691661</v>
      </c>
      <c r="I21" s="18" t="s">
        <v>349</v>
      </c>
      <c r="J21" s="20" t="s">
        <v>349</v>
      </c>
      <c r="K21" s="18" t="n">
        <v>0</v>
      </c>
      <c r="L21" s="20" t="n">
        <v>0</v>
      </c>
      <c r="M21" s="18" t="n">
        <v>0</v>
      </c>
      <c r="N21" s="20" t="n">
        <v>0</v>
      </c>
      <c r="O21" s="18" t="n">
        <v>0</v>
      </c>
      <c r="P21" s="20" t="n">
        <v>0</v>
      </c>
      <c r="Q21" s="18" t="n">
        <v>16.39993448</v>
      </c>
      <c r="R21" s="20" t="n">
        <v>1.73049907</v>
      </c>
    </row>
    <row r="22" spans="1:18">
      <c r="A22" s="15" t="s">
        <v>364</v>
      </c>
      <c r="B22" s="17" t="n">
        <v>3667</v>
      </c>
      <c r="C22" s="18">
        <f>(3203.0/B22*100)</f>
        <v/>
      </c>
      <c r="D22" s="19" t="n">
        <v>464</v>
      </c>
      <c r="E22" s="18" t="n">
        <v>63.67784319</v>
      </c>
      <c r="F22" s="20" t="n">
        <v>2.00638322</v>
      </c>
      <c r="G22" s="18" t="n">
        <v>5.87634902</v>
      </c>
      <c r="H22" s="20" t="n">
        <v>0.78736565</v>
      </c>
      <c r="I22" s="18" t="s">
        <v>349</v>
      </c>
      <c r="J22" s="20" t="s">
        <v>349</v>
      </c>
      <c r="K22" s="18" t="n">
        <v>0.56736642</v>
      </c>
      <c r="L22" s="20" t="n">
        <v>0.32961251</v>
      </c>
      <c r="M22" s="18" t="n">
        <v>0</v>
      </c>
      <c r="N22" s="20" t="n">
        <v>0</v>
      </c>
      <c r="O22" s="18" t="n">
        <v>0</v>
      </c>
      <c r="P22" s="20" t="n">
        <v>0</v>
      </c>
      <c r="Q22" s="18" t="n">
        <v>29.87844137</v>
      </c>
      <c r="R22" s="20" t="n">
        <v>2.04475472</v>
      </c>
    </row>
    <row r="23" spans="1:18">
      <c r="A23" s="15" t="s">
        <v>365</v>
      </c>
      <c r="B23" s="17" t="n">
        <v>5792</v>
      </c>
      <c r="C23" s="18">
        <f>(5091.0/B23*100)</f>
        <v/>
      </c>
      <c r="D23" s="19" t="n">
        <v>701</v>
      </c>
      <c r="E23" s="18" t="n">
        <v>59.93580541</v>
      </c>
      <c r="F23" s="20" t="n">
        <v>2.57825069</v>
      </c>
      <c r="G23" s="18" t="n">
        <v>2.54691615</v>
      </c>
      <c r="H23" s="20" t="n">
        <v>0.79756573</v>
      </c>
      <c r="I23" s="18" t="s">
        <v>349</v>
      </c>
      <c r="J23" s="20" t="s">
        <v>349</v>
      </c>
      <c r="K23" s="18" t="n">
        <v>0.42490987</v>
      </c>
      <c r="L23" s="20" t="n">
        <v>0.30020601</v>
      </c>
      <c r="M23" s="18" t="n">
        <v>0.17236432</v>
      </c>
      <c r="N23" s="20" t="n">
        <v>0.17374793</v>
      </c>
      <c r="O23" s="18" t="n">
        <v>0</v>
      </c>
      <c r="P23" s="20" t="n">
        <v>0</v>
      </c>
      <c r="Q23" s="18" t="n">
        <v>36.92000424</v>
      </c>
      <c r="R23" s="20" t="n">
        <v>2.53695179</v>
      </c>
    </row>
    <row r="24" spans="1:18">
      <c r="A24" s="15" t="s">
        <v>366</v>
      </c>
      <c r="B24" s="17" t="n">
        <v>3309</v>
      </c>
      <c r="C24" s="18">
        <f>(2903.0/B24*100)</f>
        <v/>
      </c>
      <c r="D24" s="19" t="n">
        <v>406</v>
      </c>
      <c r="E24" s="18" t="n">
        <v>64.72130787</v>
      </c>
      <c r="F24" s="20" t="n">
        <v>2.31759509</v>
      </c>
      <c r="G24" s="18" t="n">
        <v>11.5947295</v>
      </c>
      <c r="H24" s="20" t="n">
        <v>1.64500543</v>
      </c>
      <c r="I24" s="18" t="s">
        <v>349</v>
      </c>
      <c r="J24" s="20" t="s">
        <v>349</v>
      </c>
      <c r="K24" s="18" t="n">
        <v>0</v>
      </c>
      <c r="L24" s="20" t="n">
        <v>0</v>
      </c>
      <c r="M24" s="18" t="n">
        <v>0</v>
      </c>
      <c r="N24" s="20" t="n">
        <v>0</v>
      </c>
      <c r="O24" s="18" t="n">
        <v>0</v>
      </c>
      <c r="P24" s="20" t="n">
        <v>0</v>
      </c>
      <c r="Q24" s="18" t="n">
        <v>23.68396264</v>
      </c>
      <c r="R24" s="20" t="n">
        <v>1.98796158</v>
      </c>
    </row>
    <row r="25" spans="1:18">
      <c r="A25" s="15" t="s">
        <v>367</v>
      </c>
      <c r="B25" s="17" t="n">
        <v>2669</v>
      </c>
      <c r="C25" s="18">
        <f>(2330.0/B25*100)</f>
        <v/>
      </c>
      <c r="D25" s="19" t="n">
        <v>339</v>
      </c>
      <c r="E25" s="18" t="n">
        <v>63.43222881</v>
      </c>
      <c r="F25" s="20" t="n">
        <v>2.70479426</v>
      </c>
      <c r="G25" s="18" t="n">
        <v>14.06897235</v>
      </c>
      <c r="H25" s="20" t="n">
        <v>1.83352875</v>
      </c>
      <c r="I25" s="18" t="s">
        <v>349</v>
      </c>
      <c r="J25" s="20" t="s">
        <v>349</v>
      </c>
      <c r="K25" s="18" t="n">
        <v>0.30639674</v>
      </c>
      <c r="L25" s="20" t="n">
        <v>0.30463023</v>
      </c>
      <c r="M25" s="18" t="n">
        <v>0</v>
      </c>
      <c r="N25" s="20" t="n">
        <v>0</v>
      </c>
      <c r="O25" s="18" t="n">
        <v>0</v>
      </c>
      <c r="P25" s="20" t="n">
        <v>0</v>
      </c>
      <c r="Q25" s="18" t="n">
        <v>22.1924021</v>
      </c>
      <c r="R25" s="20" t="n">
        <v>2.6138625</v>
      </c>
    </row>
    <row r="26" spans="1:18">
      <c r="A26" s="15" t="s">
        <v>368</v>
      </c>
      <c r="B26" s="17" t="n">
        <v>2419</v>
      </c>
      <c r="C26" s="18">
        <f>(2130.0/B26*100)</f>
        <v/>
      </c>
      <c r="D26" s="19" t="n">
        <v>289</v>
      </c>
      <c r="E26" s="18" t="n">
        <v>77.70024793</v>
      </c>
      <c r="F26" s="20" t="n">
        <v>2.63858456</v>
      </c>
      <c r="G26" s="18" t="n">
        <v>4.17805403</v>
      </c>
      <c r="H26" s="20" t="n">
        <v>1.16360717</v>
      </c>
      <c r="I26" s="18" t="s">
        <v>349</v>
      </c>
      <c r="J26" s="20" t="s">
        <v>349</v>
      </c>
      <c r="K26" s="18" t="n">
        <v>0</v>
      </c>
      <c r="L26" s="20" t="n">
        <v>0</v>
      </c>
      <c r="M26" s="18" t="n">
        <v>0</v>
      </c>
      <c r="N26" s="20" t="n">
        <v>0</v>
      </c>
      <c r="O26" s="18" t="n">
        <v>0</v>
      </c>
      <c r="P26" s="20" t="n">
        <v>0</v>
      </c>
      <c r="Q26" s="18" t="n">
        <v>18.12169804</v>
      </c>
      <c r="R26" s="20" t="n">
        <v>2.54547002</v>
      </c>
    </row>
    <row r="27" spans="1:18">
      <c r="A27" s="15" t="s">
        <v>369</v>
      </c>
      <c r="B27" s="17" t="n">
        <v>2683</v>
      </c>
      <c r="C27" s="18">
        <f>(2356.0/B27*100)</f>
        <v/>
      </c>
      <c r="D27" s="19" t="n">
        <v>327</v>
      </c>
      <c r="E27" s="18" t="n">
        <v>67.13784938000001</v>
      </c>
      <c r="F27" s="20" t="n">
        <v>2.28072196</v>
      </c>
      <c r="G27" s="18" t="n">
        <v>5.1938496</v>
      </c>
      <c r="H27" s="20" t="n">
        <v>1.29659919</v>
      </c>
      <c r="I27" s="18" t="s">
        <v>349</v>
      </c>
      <c r="J27" s="20" t="s">
        <v>349</v>
      </c>
      <c r="K27" s="18" t="n">
        <v>0</v>
      </c>
      <c r="L27" s="20" t="n">
        <v>0</v>
      </c>
      <c r="M27" s="18" t="n">
        <v>0</v>
      </c>
      <c r="N27" s="20" t="n">
        <v>0</v>
      </c>
      <c r="O27" s="18" t="n">
        <v>0</v>
      </c>
      <c r="P27" s="20" t="n">
        <v>0</v>
      </c>
      <c r="Q27" s="18" t="n">
        <v>27.66830102</v>
      </c>
      <c r="R27" s="20" t="n">
        <v>2.26851222</v>
      </c>
    </row>
    <row r="28" spans="1:18">
      <c r="A28" s="15" t="s">
        <v>370</v>
      </c>
      <c r="B28" s="17" t="n">
        <v>3803</v>
      </c>
      <c r="C28" s="18">
        <f>(3364.0/B28*100)</f>
        <v/>
      </c>
      <c r="D28" s="19" t="n">
        <v>439</v>
      </c>
      <c r="E28" s="18" t="n">
        <v>76.92134837</v>
      </c>
      <c r="F28" s="20" t="n">
        <v>2.0882302</v>
      </c>
      <c r="G28" s="18" t="n">
        <v>0.9681710100000001</v>
      </c>
      <c r="H28" s="20" t="n">
        <v>0.46075863</v>
      </c>
      <c r="I28" s="18" t="s">
        <v>349</v>
      </c>
      <c r="J28" s="20" t="s">
        <v>349</v>
      </c>
      <c r="K28" s="18" t="n">
        <v>0.67278475</v>
      </c>
      <c r="L28" s="20" t="n">
        <v>0.47962161</v>
      </c>
      <c r="M28" s="18" t="n">
        <v>0</v>
      </c>
      <c r="N28" s="20" t="n">
        <v>0</v>
      </c>
      <c r="O28" s="18" t="n">
        <v>0</v>
      </c>
      <c r="P28" s="20" t="n">
        <v>0</v>
      </c>
      <c r="Q28" s="18" t="n">
        <v>21.43769587</v>
      </c>
      <c r="R28" s="20" t="n">
        <v>1.9859948</v>
      </c>
    </row>
    <row r="29" spans="1:18">
      <c r="A29" s="15" t="s">
        <v>371</v>
      </c>
      <c r="B29" s="17" t="n">
        <v>2700</v>
      </c>
      <c r="C29" s="18">
        <f>(2358.0/B29*100)</f>
        <v/>
      </c>
      <c r="D29" s="19" t="n">
        <v>342</v>
      </c>
      <c r="E29" s="18" t="n">
        <v>76.18025563</v>
      </c>
      <c r="F29" s="20" t="n">
        <v>2.39966133</v>
      </c>
      <c r="G29" s="18" t="n">
        <v>9.743677440000001</v>
      </c>
      <c r="H29" s="20" t="n">
        <v>1.31270806</v>
      </c>
      <c r="I29" s="18" t="s">
        <v>349</v>
      </c>
      <c r="J29" s="20" t="s">
        <v>349</v>
      </c>
      <c r="K29" s="18" t="n">
        <v>0.38060431</v>
      </c>
      <c r="L29" s="20" t="n">
        <v>0.29319164</v>
      </c>
      <c r="M29" s="18" t="n">
        <v>0</v>
      </c>
      <c r="N29" s="20" t="n">
        <v>0</v>
      </c>
      <c r="O29" s="18" t="n">
        <v>0</v>
      </c>
      <c r="P29" s="20" t="n">
        <v>0</v>
      </c>
      <c r="Q29" s="18" t="n">
        <v>13.69546262</v>
      </c>
      <c r="R29" s="20" t="n">
        <v>1.7949872</v>
      </c>
    </row>
    <row r="30" spans="1:18">
      <c r="A30" s="15" t="s">
        <v>372</v>
      </c>
      <c r="B30" s="17" t="n">
        <v>2257</v>
      </c>
      <c r="C30" s="18">
        <f>(1973.0/B30*100)</f>
        <v/>
      </c>
      <c r="D30" s="19" t="n">
        <v>284</v>
      </c>
      <c r="E30" s="18" t="n">
        <v>71.63587326</v>
      </c>
      <c r="F30" s="20" t="n">
        <v>2.74828107</v>
      </c>
      <c r="G30" s="18" t="n">
        <v>6.50247697</v>
      </c>
      <c r="H30" s="20" t="n">
        <v>1.39173264</v>
      </c>
      <c r="I30" s="18" t="s">
        <v>349</v>
      </c>
      <c r="J30" s="20" t="s">
        <v>349</v>
      </c>
      <c r="K30" s="18" t="n">
        <v>0</v>
      </c>
      <c r="L30" s="20" t="n">
        <v>0</v>
      </c>
      <c r="M30" s="18" t="n">
        <v>0</v>
      </c>
      <c r="N30" s="20" t="n">
        <v>0</v>
      </c>
      <c r="O30" s="18" t="n">
        <v>0</v>
      </c>
      <c r="P30" s="20" t="n">
        <v>0</v>
      </c>
      <c r="Q30" s="18" t="n">
        <v>21.86164977</v>
      </c>
      <c r="R30" s="20" t="n">
        <v>2.53802372</v>
      </c>
    </row>
    <row r="31" spans="1:18">
      <c r="A31" s="15" t="s">
        <v>373</v>
      </c>
      <c r="B31" s="17" t="n">
        <v>2706</v>
      </c>
      <c r="C31" s="18">
        <f>(2387.0/B31*100)</f>
        <v/>
      </c>
      <c r="D31" s="19" t="n">
        <v>319</v>
      </c>
      <c r="E31" s="18" t="n">
        <v>65.17129546</v>
      </c>
      <c r="F31" s="20" t="n">
        <v>3.31638654</v>
      </c>
      <c r="G31" s="18" t="n">
        <v>6.0547739</v>
      </c>
      <c r="H31" s="20" t="n">
        <v>1.44134754</v>
      </c>
      <c r="I31" s="18" t="s">
        <v>349</v>
      </c>
      <c r="J31" s="20" t="s">
        <v>349</v>
      </c>
      <c r="K31" s="18" t="n">
        <v>0.62699712</v>
      </c>
      <c r="L31" s="20" t="n">
        <v>0.43477005</v>
      </c>
      <c r="M31" s="18" t="n">
        <v>0.33917084</v>
      </c>
      <c r="N31" s="20" t="n">
        <v>0.33895255</v>
      </c>
      <c r="O31" s="18" t="n">
        <v>0</v>
      </c>
      <c r="P31" s="20" t="n">
        <v>0</v>
      </c>
      <c r="Q31" s="18" t="n">
        <v>27.80776268</v>
      </c>
      <c r="R31" s="20" t="n">
        <v>2.91068022</v>
      </c>
    </row>
    <row r="32" spans="1:18">
      <c r="A32" s="15" t="s">
        <v>374</v>
      </c>
      <c r="B32" s="17" t="n">
        <v>2209</v>
      </c>
      <c r="C32" s="18">
        <f>(1840.0/B32*100)</f>
        <v/>
      </c>
      <c r="D32" s="19" t="n">
        <v>369</v>
      </c>
      <c r="E32" s="18" t="n">
        <v>74.01214967999999</v>
      </c>
      <c r="F32" s="20" t="n">
        <v>2.42327757</v>
      </c>
      <c r="G32" s="18" t="n">
        <v>4.97489004</v>
      </c>
      <c r="H32" s="20" t="n">
        <v>1.16196465</v>
      </c>
      <c r="I32" s="18" t="s">
        <v>349</v>
      </c>
      <c r="J32" s="20" t="s">
        <v>349</v>
      </c>
      <c r="K32" s="18" t="n">
        <v>0.25736339</v>
      </c>
      <c r="L32" s="20" t="n">
        <v>0.26961788</v>
      </c>
      <c r="M32" s="18" t="n">
        <v>1.14548735</v>
      </c>
      <c r="N32" s="20" t="n">
        <v>1.21331556</v>
      </c>
      <c r="O32" s="18" t="n">
        <v>0</v>
      </c>
      <c r="P32" s="20" t="n">
        <v>0</v>
      </c>
      <c r="Q32" s="18" t="n">
        <v>19.61010954</v>
      </c>
      <c r="R32" s="20" t="n">
        <v>1.96853908</v>
      </c>
    </row>
    <row r="33" spans="1:18">
      <c r="A33" s="15" t="s">
        <v>375</v>
      </c>
      <c r="B33" s="17" t="n">
        <v>3651</v>
      </c>
      <c r="C33" s="18">
        <f>(3207.0/B33*100)</f>
        <v/>
      </c>
      <c r="D33" s="19" t="n">
        <v>444</v>
      </c>
      <c r="E33" s="18" t="n">
        <v>67.94448623</v>
      </c>
      <c r="F33" s="20" t="n">
        <v>2.53132536</v>
      </c>
      <c r="G33" s="18" t="n">
        <v>2.96299052</v>
      </c>
      <c r="H33" s="20" t="n">
        <v>1.13141019</v>
      </c>
      <c r="I33" s="18" t="s">
        <v>349</v>
      </c>
      <c r="J33" s="20" t="s">
        <v>349</v>
      </c>
      <c r="K33" s="18" t="n">
        <v>0</v>
      </c>
      <c r="L33" s="20" t="n">
        <v>0</v>
      </c>
      <c r="M33" s="18" t="n">
        <v>0</v>
      </c>
      <c r="N33" s="20" t="n">
        <v>0</v>
      </c>
      <c r="O33" s="18" t="n">
        <v>0</v>
      </c>
      <c r="P33" s="20" t="n">
        <v>0</v>
      </c>
      <c r="Q33" s="18" t="n">
        <v>29.09252324</v>
      </c>
      <c r="R33" s="20" t="n">
        <v>2.30427968</v>
      </c>
    </row>
    <row r="34" spans="1:18">
      <c r="A34" s="15" t="s">
        <v>376</v>
      </c>
      <c r="B34" s="17" t="n">
        <v>3035</v>
      </c>
      <c r="C34" s="18">
        <f>(2671.0/B34*100)</f>
        <v/>
      </c>
      <c r="D34" s="19" t="n">
        <v>364</v>
      </c>
      <c r="E34" s="18" t="n">
        <v>71.88521148</v>
      </c>
      <c r="F34" s="20" t="n">
        <v>2.93504619</v>
      </c>
      <c r="G34" s="18" t="n">
        <v>1.28065334</v>
      </c>
      <c r="H34" s="20" t="n">
        <v>0.46157958</v>
      </c>
      <c r="I34" s="18" t="s">
        <v>349</v>
      </c>
      <c r="J34" s="20" t="s">
        <v>349</v>
      </c>
      <c r="K34" s="18" t="n">
        <v>0</v>
      </c>
      <c r="L34" s="20" t="n">
        <v>0</v>
      </c>
      <c r="M34" s="18" t="n">
        <v>0</v>
      </c>
      <c r="N34" s="20" t="n">
        <v>0</v>
      </c>
      <c r="O34" s="18" t="n">
        <v>0</v>
      </c>
      <c r="P34" s="20" t="n">
        <v>0</v>
      </c>
      <c r="Q34" s="18" t="n">
        <v>26.83413517</v>
      </c>
      <c r="R34" s="20" t="n">
        <v>2.93853387</v>
      </c>
    </row>
    <row r="35" spans="1:18">
      <c r="A35" s="15" t="s">
        <v>377</v>
      </c>
      <c r="B35" s="17" t="n">
        <v>2901</v>
      </c>
      <c r="C35" s="18">
        <f>(2520.0/B35*100)</f>
        <v/>
      </c>
      <c r="D35" s="19" t="n">
        <v>381</v>
      </c>
      <c r="E35" s="18" t="n">
        <v>65.84387334</v>
      </c>
      <c r="F35" s="20" t="n">
        <v>2.726881</v>
      </c>
      <c r="G35" s="18" t="n">
        <v>4.06961538</v>
      </c>
      <c r="H35" s="20" t="n">
        <v>1.2960732</v>
      </c>
      <c r="I35" s="18" t="s">
        <v>349</v>
      </c>
      <c r="J35" s="20" t="s">
        <v>349</v>
      </c>
      <c r="K35" s="18" t="n">
        <v>0.09890655</v>
      </c>
      <c r="L35" s="20" t="n">
        <v>0.09973542000000001</v>
      </c>
      <c r="M35" s="18" t="n">
        <v>0</v>
      </c>
      <c r="N35" s="20" t="n">
        <v>0</v>
      </c>
      <c r="O35" s="18" t="n">
        <v>0</v>
      </c>
      <c r="P35" s="20" t="n">
        <v>0</v>
      </c>
      <c r="Q35" s="18" t="n">
        <v>29.98760472</v>
      </c>
      <c r="R35" s="20" t="n">
        <v>2.88294345</v>
      </c>
    </row>
    <row r="36" spans="1:18">
      <c r="A36" s="15" t="s">
        <v>378</v>
      </c>
      <c r="B36" s="17" t="n">
        <v>3404</v>
      </c>
      <c r="C36" s="18">
        <f>(2979.0/B36*100)</f>
        <v/>
      </c>
      <c r="D36" s="19" t="n">
        <v>425</v>
      </c>
      <c r="E36" s="18" t="n">
        <v>72.72219464</v>
      </c>
      <c r="F36" s="20" t="n">
        <v>2.20977125</v>
      </c>
      <c r="G36" s="18" t="n">
        <v>2.32501406</v>
      </c>
      <c r="H36" s="20" t="n">
        <v>0.76628159</v>
      </c>
      <c r="I36" s="18" t="s">
        <v>349</v>
      </c>
      <c r="J36" s="20" t="s">
        <v>349</v>
      </c>
      <c r="K36" s="18" t="n">
        <v>0.3867873</v>
      </c>
      <c r="L36" s="20" t="n">
        <v>0.34517884</v>
      </c>
      <c r="M36" s="18" t="n">
        <v>0</v>
      </c>
      <c r="N36" s="20" t="n">
        <v>0</v>
      </c>
      <c r="O36" s="18" t="n">
        <v>0</v>
      </c>
      <c r="P36" s="20" t="n">
        <v>0</v>
      </c>
      <c r="Q36" s="18" t="n">
        <v>24.56600401</v>
      </c>
      <c r="R36" s="20" t="n">
        <v>2.11153873</v>
      </c>
    </row>
    <row r="37" spans="1:18">
      <c r="A37" s="15" t="s">
        <v>379</v>
      </c>
      <c r="B37" s="17" t="n">
        <v>2731</v>
      </c>
      <c r="C37" s="18">
        <f>(2385.0/B37*100)</f>
        <v/>
      </c>
      <c r="D37" s="19" t="n">
        <v>346</v>
      </c>
      <c r="E37" s="18" t="n">
        <v>64.93964373999999</v>
      </c>
      <c r="F37" s="20" t="n">
        <v>2.99611659</v>
      </c>
      <c r="G37" s="18" t="n">
        <v>6.48238072</v>
      </c>
      <c r="H37" s="20" t="n">
        <v>1.79967845</v>
      </c>
      <c r="I37" s="18" t="s">
        <v>349</v>
      </c>
      <c r="J37" s="20" t="s">
        <v>349</v>
      </c>
      <c r="K37" s="18" t="n">
        <v>0</v>
      </c>
      <c r="L37" s="20" t="n">
        <v>0</v>
      </c>
      <c r="M37" s="18" t="n">
        <v>0.29415195</v>
      </c>
      <c r="N37" s="20" t="n">
        <v>0.209285</v>
      </c>
      <c r="O37" s="18" t="n">
        <v>0</v>
      </c>
      <c r="P37" s="20" t="n">
        <v>0</v>
      </c>
      <c r="Q37" s="18" t="n">
        <v>28.28382359</v>
      </c>
      <c r="R37" s="20" t="n">
        <v>2.33738332</v>
      </c>
    </row>
    <row r="38" spans="1:18">
      <c r="A38" s="15" t="s">
        <v>380</v>
      </c>
      <c r="B38" s="17" t="n">
        <v>2807</v>
      </c>
      <c r="C38" s="18">
        <f>(2327.0/B38*100)</f>
        <v/>
      </c>
      <c r="D38" s="19" t="n">
        <v>480</v>
      </c>
      <c r="E38" s="18" t="n">
        <v>67.13669229</v>
      </c>
      <c r="F38" s="20" t="n">
        <v>2.4796294</v>
      </c>
      <c r="G38" s="18" t="n">
        <v>9.20714499</v>
      </c>
      <c r="H38" s="20" t="n">
        <v>1.55022287</v>
      </c>
      <c r="I38" s="18" t="s">
        <v>349</v>
      </c>
      <c r="J38" s="20" t="s">
        <v>349</v>
      </c>
      <c r="K38" s="18" t="n">
        <v>0.05898808</v>
      </c>
      <c r="L38" s="20" t="n">
        <v>0.03996117</v>
      </c>
      <c r="M38" s="18" t="n">
        <v>0</v>
      </c>
      <c r="N38" s="20" t="n">
        <v>0</v>
      </c>
      <c r="O38" s="18" t="n">
        <v>0</v>
      </c>
      <c r="P38" s="20" t="n">
        <v>0</v>
      </c>
      <c r="Q38" s="18" t="n">
        <v>23.59717464</v>
      </c>
      <c r="R38" s="20" t="n">
        <v>2.48530173</v>
      </c>
    </row>
    <row r="39" spans="1:18">
      <c r="A39" s="15" t="s">
        <v>381</v>
      </c>
      <c r="B39" s="17" t="n">
        <v>2938</v>
      </c>
      <c r="C39" s="18">
        <f>(2601.0/B39*100)</f>
        <v/>
      </c>
      <c r="D39" s="19" t="n">
        <v>337</v>
      </c>
      <c r="E39" s="18" t="n">
        <v>72.802904</v>
      </c>
      <c r="F39" s="20" t="n">
        <v>2.40574475</v>
      </c>
      <c r="G39" s="18" t="n">
        <v>2.53619231</v>
      </c>
      <c r="H39" s="20" t="n">
        <v>1.13701303</v>
      </c>
      <c r="I39" s="18" t="s">
        <v>349</v>
      </c>
      <c r="J39" s="20" t="s">
        <v>349</v>
      </c>
      <c r="K39" s="18" t="n">
        <v>1.25801483</v>
      </c>
      <c r="L39" s="20" t="n">
        <v>0.60979012</v>
      </c>
      <c r="M39" s="18" t="n">
        <v>0.27488752</v>
      </c>
      <c r="N39" s="20" t="n">
        <v>0.36519966</v>
      </c>
      <c r="O39" s="18" t="n">
        <v>0</v>
      </c>
      <c r="P39" s="20" t="n">
        <v>0</v>
      </c>
      <c r="Q39" s="18" t="n">
        <v>23.12800134</v>
      </c>
      <c r="R39" s="20" t="n">
        <v>1.95877865</v>
      </c>
    </row>
    <row r="40" spans="1:18">
      <c r="A40" s="15" t="s">
        <v>382</v>
      </c>
      <c r="B40" s="17" t="n">
        <v>6922</v>
      </c>
      <c r="C40" s="18">
        <f>(6091.0/B40*100)</f>
        <v/>
      </c>
      <c r="D40" s="19" t="n">
        <v>831</v>
      </c>
      <c r="E40" s="18" t="n">
        <v>76.09854673</v>
      </c>
      <c r="F40" s="20" t="n">
        <v>2.13991168</v>
      </c>
      <c r="G40" s="18" t="n">
        <v>4.43360828</v>
      </c>
      <c r="H40" s="20" t="n">
        <v>1.28835082</v>
      </c>
      <c r="I40" s="18" t="s">
        <v>349</v>
      </c>
      <c r="J40" s="20" t="s">
        <v>349</v>
      </c>
      <c r="K40" s="18" t="n">
        <v>0.01905567</v>
      </c>
      <c r="L40" s="20" t="n">
        <v>0.01968603</v>
      </c>
      <c r="M40" s="18" t="n">
        <v>0.41763286</v>
      </c>
      <c r="N40" s="20" t="n">
        <v>0.39467924</v>
      </c>
      <c r="O40" s="18" t="n">
        <v>0</v>
      </c>
      <c r="P40" s="20" t="n">
        <v>0</v>
      </c>
      <c r="Q40" s="18" t="n">
        <v>19.03115646</v>
      </c>
      <c r="R40" s="20" t="n">
        <v>1.98642544</v>
      </c>
    </row>
    <row r="41" spans="1:18">
      <c r="A41" s="15" t="s">
        <v>383</v>
      </c>
      <c r="B41" s="17" t="n">
        <v>2854</v>
      </c>
      <c r="C41" s="18">
        <f>(2506.0/B41*100)</f>
        <v/>
      </c>
      <c r="D41" s="19" t="n">
        <v>348</v>
      </c>
      <c r="E41" s="18" t="n">
        <v>91.03983325</v>
      </c>
      <c r="F41" s="20" t="n">
        <v>1.73315367</v>
      </c>
      <c r="G41" s="18" t="n">
        <v>2.36238832</v>
      </c>
      <c r="H41" s="20" t="n">
        <v>0.77237438</v>
      </c>
      <c r="I41" s="18" t="s">
        <v>349</v>
      </c>
      <c r="J41" s="20" t="s">
        <v>349</v>
      </c>
      <c r="K41" s="18" t="n">
        <v>0</v>
      </c>
      <c r="L41" s="20" t="n">
        <v>0</v>
      </c>
      <c r="M41" s="18" t="n">
        <v>0</v>
      </c>
      <c r="N41" s="20" t="n">
        <v>0</v>
      </c>
      <c r="O41" s="18" t="n">
        <v>0</v>
      </c>
      <c r="P41" s="20" t="n">
        <v>0</v>
      </c>
      <c r="Q41" s="18" t="n">
        <v>6.59777842</v>
      </c>
      <c r="R41" s="20" t="n">
        <v>1.56690672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(10760.0/B46*100)</f>
        <v/>
      </c>
      <c r="D46" s="19" t="n">
        <v>1313</v>
      </c>
      <c r="E46" s="18" t="n">
        <v>56.99368933</v>
      </c>
      <c r="F46" s="20" t="n">
        <v>1.86481846</v>
      </c>
      <c r="G46" s="18" t="n">
        <v>0.42964734</v>
      </c>
      <c r="H46" s="20" t="n">
        <v>0.20169848</v>
      </c>
      <c r="I46" s="18" t="s">
        <v>349</v>
      </c>
      <c r="J46" s="20" t="s">
        <v>349</v>
      </c>
      <c r="K46" s="18" t="n">
        <v>0.68187977</v>
      </c>
      <c r="L46" s="20" t="n">
        <v>0.30204841</v>
      </c>
      <c r="M46" s="18" t="n">
        <v>0.59024671</v>
      </c>
      <c r="N46" s="20" t="n">
        <v>0.34466246</v>
      </c>
      <c r="O46" s="18" t="n">
        <v>0</v>
      </c>
      <c r="P46" s="20" t="n">
        <v>0</v>
      </c>
      <c r="Q46" s="18" t="n">
        <v>41.30453685</v>
      </c>
      <c r="R46" s="20" t="n">
        <v>1.87972464</v>
      </c>
    </row>
    <row r="47" spans="1:18">
      <c r="A47" s="15" t="s">
        <v>389</v>
      </c>
      <c r="B47" s="17" t="n">
        <v>2823</v>
      </c>
      <c r="C47" s="18">
        <f>(2473.0/B47*100)</f>
        <v/>
      </c>
      <c r="D47" s="19" t="n">
        <v>350</v>
      </c>
      <c r="E47" s="18" t="n">
        <v>65.10239032</v>
      </c>
      <c r="F47" s="20" t="n">
        <v>2.79495753</v>
      </c>
      <c r="G47" s="18" t="n">
        <v>3.09483739</v>
      </c>
      <c r="H47" s="20" t="n">
        <v>0.93091822</v>
      </c>
      <c r="I47" s="18" t="s">
        <v>349</v>
      </c>
      <c r="J47" s="20" t="s">
        <v>349</v>
      </c>
      <c r="K47" s="18" t="n">
        <v>0.30226373</v>
      </c>
      <c r="L47" s="20" t="n">
        <v>0.27191428</v>
      </c>
      <c r="M47" s="18" t="n">
        <v>0</v>
      </c>
      <c r="N47" s="20" t="n">
        <v>0</v>
      </c>
      <c r="O47" s="18" t="n">
        <v>0</v>
      </c>
      <c r="P47" s="20" t="n">
        <v>0</v>
      </c>
      <c r="Q47" s="18" t="n">
        <v>31.50050857</v>
      </c>
      <c r="R47" s="20" t="n">
        <v>2.50603263</v>
      </c>
    </row>
    <row r="48" spans="1:18">
      <c r="A48" s="15" t="s">
        <v>390</v>
      </c>
      <c r="B48" s="17" t="n">
        <v>4682</v>
      </c>
      <c r="C48" s="18">
        <f>(4108.0/B48*100)</f>
        <v/>
      </c>
      <c r="D48" s="19" t="n">
        <v>574</v>
      </c>
      <c r="E48" s="18" t="n">
        <v>62.4931402</v>
      </c>
      <c r="F48" s="20" t="n">
        <v>2.45027175</v>
      </c>
      <c r="G48" s="18" t="n">
        <v>25.98363184</v>
      </c>
      <c r="H48" s="20" t="n">
        <v>2.63722136</v>
      </c>
      <c r="I48" s="18" t="s">
        <v>349</v>
      </c>
      <c r="J48" s="20" t="s">
        <v>349</v>
      </c>
      <c r="K48" s="18" t="n">
        <v>0</v>
      </c>
      <c r="L48" s="20" t="n">
        <v>0</v>
      </c>
      <c r="M48" s="18" t="n">
        <v>0</v>
      </c>
      <c r="N48" s="20" t="n">
        <v>0</v>
      </c>
      <c r="O48" s="18" t="n">
        <v>0</v>
      </c>
      <c r="P48" s="20" t="n">
        <v>0</v>
      </c>
      <c r="Q48" s="18" t="n">
        <v>11.52322796</v>
      </c>
      <c r="R48" s="20" t="n">
        <v>2.11789246</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(5441.0/B50*100)</f>
        <v/>
      </c>
      <c r="D50" s="19" t="n">
        <v>717</v>
      </c>
      <c r="E50" s="18" t="n">
        <v>79.64561746</v>
      </c>
      <c r="F50" s="20" t="n">
        <v>2.00651024</v>
      </c>
      <c r="G50" s="18" t="n">
        <v>0.5446006</v>
      </c>
      <c r="H50" s="20" t="n">
        <v>0.2523699</v>
      </c>
      <c r="I50" s="18" t="s">
        <v>349</v>
      </c>
      <c r="J50" s="20" t="s">
        <v>349</v>
      </c>
      <c r="K50" s="18" t="n">
        <v>1.4587503</v>
      </c>
      <c r="L50" s="20" t="n">
        <v>0.5962954499999999</v>
      </c>
      <c r="M50" s="18" t="n">
        <v>0.13865765</v>
      </c>
      <c r="N50" s="20" t="n">
        <v>0.13864199</v>
      </c>
      <c r="O50" s="18" t="n">
        <v>0</v>
      </c>
      <c r="P50" s="20" t="n">
        <v>0</v>
      </c>
      <c r="Q50" s="18" t="n">
        <v>18.21237399</v>
      </c>
      <c r="R50" s="20" t="n">
        <v>1.99954448</v>
      </c>
    </row>
    <row r="51" spans="1:18">
      <c r="A51" s="15" t="s">
        <v>393</v>
      </c>
      <c r="B51" s="17" t="n">
        <v>3494</v>
      </c>
      <c r="C51" s="18">
        <f>(3132.0/B51*100)</f>
        <v/>
      </c>
      <c r="D51" s="19" t="n">
        <v>362</v>
      </c>
      <c r="E51" s="18" t="n">
        <v>64.47033061</v>
      </c>
      <c r="F51" s="20" t="n">
        <v>3.07464925</v>
      </c>
      <c r="G51" s="18" t="n">
        <v>1.16244806</v>
      </c>
      <c r="H51" s="20" t="n">
        <v>0.65824391</v>
      </c>
      <c r="I51" s="18" t="s">
        <v>349</v>
      </c>
      <c r="J51" s="20" t="s">
        <v>349</v>
      </c>
      <c r="K51" s="18" t="n">
        <v>0</v>
      </c>
      <c r="L51" s="20" t="n">
        <v>0</v>
      </c>
      <c r="M51" s="18" t="n">
        <v>0</v>
      </c>
      <c r="N51" s="20" t="n">
        <v>0</v>
      </c>
      <c r="O51" s="18" t="n">
        <v>0</v>
      </c>
      <c r="P51" s="20" t="n">
        <v>0</v>
      </c>
      <c r="Q51" s="18" t="n">
        <v>34.36722133</v>
      </c>
      <c r="R51" s="20" t="n">
        <v>3.06740445</v>
      </c>
    </row>
    <row r="52" spans="1:18">
      <c r="A52" s="15" t="s">
        <v>394</v>
      </c>
      <c r="B52" s="17" t="n">
        <v>3013</v>
      </c>
      <c r="C52" s="18">
        <f>(2652.0/B52*100)</f>
        <v/>
      </c>
      <c r="D52" s="19" t="n">
        <v>361</v>
      </c>
      <c r="E52" s="18" t="n">
        <v>65.88657250999999</v>
      </c>
      <c r="F52" s="20" t="n">
        <v>2.92354311</v>
      </c>
      <c r="G52" s="18" t="n">
        <v>2.17674089</v>
      </c>
      <c r="H52" s="20" t="n">
        <v>0.8757544</v>
      </c>
      <c r="I52" s="18" t="s">
        <v>349</v>
      </c>
      <c r="J52" s="20" t="s">
        <v>349</v>
      </c>
      <c r="K52" s="18" t="n">
        <v>0</v>
      </c>
      <c r="L52" s="20" t="n">
        <v>0</v>
      </c>
      <c r="M52" s="18" t="n">
        <v>0.19099614</v>
      </c>
      <c r="N52" s="20" t="n">
        <v>0.13584195</v>
      </c>
      <c r="O52" s="18" t="n">
        <v>0</v>
      </c>
      <c r="P52" s="20" t="n">
        <v>0</v>
      </c>
      <c r="Q52" s="18" t="n">
        <v>31.74569046</v>
      </c>
      <c r="R52" s="20" t="n">
        <v>2.6819109</v>
      </c>
    </row>
    <row r="53" spans="1:18">
      <c r="A53" s="15" t="s">
        <v>395</v>
      </c>
      <c r="B53" s="17" t="n">
        <v>2760</v>
      </c>
      <c r="C53" s="18">
        <f>(2430.0/B53*100)</f>
        <v/>
      </c>
      <c r="D53" s="19" t="n">
        <v>330</v>
      </c>
      <c r="E53" s="18" t="n">
        <v>72.2593918</v>
      </c>
      <c r="F53" s="20" t="n">
        <v>2.70980916</v>
      </c>
      <c r="G53" s="18" t="n">
        <v>1.96612829</v>
      </c>
      <c r="H53" s="20" t="n">
        <v>0.74972745</v>
      </c>
      <c r="I53" s="18" t="s">
        <v>349</v>
      </c>
      <c r="J53" s="20" t="s">
        <v>349</v>
      </c>
      <c r="K53" s="18" t="n">
        <v>0</v>
      </c>
      <c r="L53" s="20" t="n">
        <v>0</v>
      </c>
      <c r="M53" s="18" t="n">
        <v>0</v>
      </c>
      <c r="N53" s="20" t="n">
        <v>0</v>
      </c>
      <c r="O53" s="18" t="n">
        <v>0</v>
      </c>
      <c r="P53" s="20" t="n">
        <v>0</v>
      </c>
      <c r="Q53" s="18" t="n">
        <v>25.77447992</v>
      </c>
      <c r="R53" s="20" t="n">
        <v>2.68437911</v>
      </c>
    </row>
    <row r="54" spans="1:18">
      <c r="A54" s="15" t="s">
        <v>396</v>
      </c>
      <c r="B54" s="17" t="n">
        <v>2474</v>
      </c>
      <c r="C54" s="18">
        <f>(2045.0/B54*100)</f>
        <v/>
      </c>
      <c r="D54" s="19" t="n">
        <v>429</v>
      </c>
      <c r="E54" s="18" t="n">
        <v>54.97409791</v>
      </c>
      <c r="F54" s="20" t="n">
        <v>2.47623861</v>
      </c>
      <c r="G54" s="18" t="n">
        <v>0</v>
      </c>
      <c r="H54" s="20" t="n">
        <v>0</v>
      </c>
      <c r="I54" s="18" t="s">
        <v>349</v>
      </c>
      <c r="J54" s="20" t="s">
        <v>349</v>
      </c>
      <c r="K54" s="18" t="n">
        <v>8.333935</v>
      </c>
      <c r="L54" s="20" t="n">
        <v>1.34450579</v>
      </c>
      <c r="M54" s="18" t="n">
        <v>1.49749553</v>
      </c>
      <c r="N54" s="20" t="n">
        <v>1.22787189</v>
      </c>
      <c r="O54" s="18" t="n">
        <v>0</v>
      </c>
      <c r="P54" s="20" t="n">
        <v>0</v>
      </c>
      <c r="Q54" s="18" t="n">
        <v>35.19447156</v>
      </c>
      <c r="R54" s="20" t="n">
        <v>2.83672355</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73.31692227000001</v>
      </c>
      <c r="F56" s="20" t="n">
        <v>2.59119348</v>
      </c>
      <c r="G56" s="18" t="n">
        <v>17.40905735</v>
      </c>
      <c r="H56" s="20" t="n">
        <v>2.00949486</v>
      </c>
      <c r="I56" s="18" t="s">
        <v>349</v>
      </c>
      <c r="J56" s="20" t="s">
        <v>349</v>
      </c>
      <c r="K56" s="18" t="n">
        <v>0</v>
      </c>
      <c r="L56" s="20" t="n">
        <v>0</v>
      </c>
      <c r="M56" s="18" t="n">
        <v>0</v>
      </c>
      <c r="N56" s="20" t="n">
        <v>0</v>
      </c>
      <c r="O56" s="18" t="n">
        <v>0</v>
      </c>
      <c r="P56" s="20" t="n">
        <v>0</v>
      </c>
      <c r="Q56" s="18" t="n">
        <v>9.27402038</v>
      </c>
      <c r="R56" s="20" t="n">
        <v>1.73253566</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(2789.0/B61*100)</f>
        <v/>
      </c>
      <c r="D61" s="19" t="n">
        <v>412</v>
      </c>
      <c r="E61" s="18" t="n">
        <v>72.65149597</v>
      </c>
      <c r="F61" s="20" t="n">
        <v>2.46278639</v>
      </c>
      <c r="G61" s="18" t="n">
        <v>3.93805939</v>
      </c>
      <c r="H61" s="20" t="n">
        <v>1.08861275</v>
      </c>
      <c r="I61" s="18" t="s">
        <v>349</v>
      </c>
      <c r="J61" s="20" t="s">
        <v>349</v>
      </c>
      <c r="K61" s="18" t="n">
        <v>0.71302759</v>
      </c>
      <c r="L61" s="20" t="n">
        <v>0.69491194</v>
      </c>
      <c r="M61" s="18" t="n">
        <v>0.2966621</v>
      </c>
      <c r="N61" s="20" t="n">
        <v>0.29114939</v>
      </c>
      <c r="O61" s="18" t="n">
        <v>0</v>
      </c>
      <c r="P61" s="20" t="n">
        <v>0</v>
      </c>
      <c r="Q61" s="18" t="n">
        <v>22.40075495</v>
      </c>
      <c r="R61" s="20" t="n">
        <v>2.26129581</v>
      </c>
    </row>
    <row r="62" spans="1:18">
      <c r="A62" s="15" t="s">
        <v>404</v>
      </c>
      <c r="B62" s="17" t="n">
        <v>2230</v>
      </c>
      <c r="C62" s="18">
        <f>(1959.0/B62*100)</f>
        <v/>
      </c>
      <c r="D62" s="19" t="n">
        <v>271</v>
      </c>
      <c r="E62" s="18" t="n">
        <v>81.51445746</v>
      </c>
      <c r="F62" s="20" t="n">
        <v>2.27387565</v>
      </c>
      <c r="G62" s="18" t="n">
        <v>14.42731336</v>
      </c>
      <c r="H62" s="20" t="n">
        <v>2.05494017</v>
      </c>
      <c r="I62" s="18" t="s">
        <v>349</v>
      </c>
      <c r="J62" s="20" t="s">
        <v>349</v>
      </c>
      <c r="K62" s="18" t="n">
        <v>0</v>
      </c>
      <c r="L62" s="20" t="n">
        <v>0</v>
      </c>
      <c r="M62" s="18" t="n">
        <v>0</v>
      </c>
      <c r="N62" s="20" t="n">
        <v>0</v>
      </c>
      <c r="O62" s="18" t="n">
        <v>0</v>
      </c>
      <c r="P62" s="20" t="n">
        <v>0</v>
      </c>
      <c r="Q62" s="18" t="n">
        <v>4.05822918</v>
      </c>
      <c r="R62" s="20" t="n">
        <v>1.22267054</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(2437.0/B66*100)</f>
        <v/>
      </c>
      <c r="D66" s="19" t="n">
        <v>334</v>
      </c>
      <c r="E66" s="18" t="n">
        <v>50.34445629</v>
      </c>
      <c r="F66" s="20" t="n">
        <v>2.33660176</v>
      </c>
      <c r="G66" s="18" t="n">
        <v>0.32629696</v>
      </c>
      <c r="H66" s="20" t="n">
        <v>0.3279089</v>
      </c>
      <c r="I66" s="18" t="s">
        <v>349</v>
      </c>
      <c r="J66" s="20" t="s">
        <v>349</v>
      </c>
      <c r="K66" s="18" t="n">
        <v>0.53066177</v>
      </c>
      <c r="L66" s="20" t="n">
        <v>0.37042511</v>
      </c>
      <c r="M66" s="18" t="n">
        <v>0</v>
      </c>
      <c r="N66" s="20" t="n">
        <v>0</v>
      </c>
      <c r="O66" s="18" t="n">
        <v>0</v>
      </c>
      <c r="P66" s="20" t="n">
        <v>0</v>
      </c>
      <c r="Q66" s="18" t="n">
        <v>48.79858498</v>
      </c>
      <c r="R66" s="20" t="n">
        <v>2.32758943</v>
      </c>
    </row>
    <row r="67" spans="1:18">
      <c r="A67" s="15" t="s">
        <v>409</v>
      </c>
      <c r="B67" s="17" t="n">
        <v>3460</v>
      </c>
      <c r="C67" s="18">
        <f>(3069.0/B67*100)</f>
        <v/>
      </c>
      <c r="D67" s="19" t="n">
        <v>391</v>
      </c>
      <c r="E67" s="18" t="n">
        <v>68.30831884</v>
      </c>
      <c r="F67" s="20" t="n">
        <v>2.99003237</v>
      </c>
      <c r="G67" s="18" t="n">
        <v>0.97187574</v>
      </c>
      <c r="H67" s="20" t="n">
        <v>0.47468703</v>
      </c>
      <c r="I67" s="18" t="s">
        <v>349</v>
      </c>
      <c r="J67" s="20" t="s">
        <v>349</v>
      </c>
      <c r="K67" s="18" t="n">
        <v>0.66471756</v>
      </c>
      <c r="L67" s="20" t="n">
        <v>0.66704276</v>
      </c>
      <c r="M67" s="18" t="n">
        <v>0</v>
      </c>
      <c r="N67" s="20" t="n">
        <v>0</v>
      </c>
      <c r="O67" s="18" t="n">
        <v>0</v>
      </c>
      <c r="P67" s="20" t="n">
        <v>0</v>
      </c>
      <c r="Q67" s="18" t="n">
        <v>30.05508787</v>
      </c>
      <c r="R67" s="20" t="n">
        <v>2.88961898</v>
      </c>
    </row>
    <row r="68" spans="1:18">
      <c r="A68" s="15" t="s">
        <v>410</v>
      </c>
      <c r="B68" s="17" t="n">
        <v>6034</v>
      </c>
      <c r="C68" s="18">
        <f>(5038.0/B68*100)</f>
        <v/>
      </c>
      <c r="D68" s="19" t="n">
        <v>996</v>
      </c>
      <c r="E68" s="18" t="n">
        <v>74.38434212999999</v>
      </c>
      <c r="F68" s="20" t="n">
        <v>1.27133981</v>
      </c>
      <c r="G68" s="18" t="n">
        <v>2.46877601</v>
      </c>
      <c r="H68" s="20" t="n">
        <v>0.42394972</v>
      </c>
      <c r="I68" s="18" t="s">
        <v>349</v>
      </c>
      <c r="J68" s="20" t="s">
        <v>349</v>
      </c>
      <c r="K68" s="18" t="n">
        <v>1.09236937</v>
      </c>
      <c r="L68" s="20" t="n">
        <v>0.29643552</v>
      </c>
      <c r="M68" s="18" t="n">
        <v>0</v>
      </c>
      <c r="N68" s="20" t="n">
        <v>0</v>
      </c>
      <c r="O68" s="18" t="n">
        <v>0</v>
      </c>
      <c r="P68" s="20" t="n">
        <v>0</v>
      </c>
      <c r="Q68" s="18" t="n">
        <v>22.05451249</v>
      </c>
      <c r="R68" s="20" t="n">
        <v>1.26475461</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(2776.0/B70*100)</f>
        <v/>
      </c>
      <c r="D70" s="19" t="n">
        <v>331</v>
      </c>
      <c r="E70" s="18" t="n">
        <v>68.50403573</v>
      </c>
      <c r="F70" s="20" t="n">
        <v>2.81239283</v>
      </c>
      <c r="G70" s="18" t="n">
        <v>8.8651245</v>
      </c>
      <c r="H70" s="20" t="n">
        <v>1.67929747</v>
      </c>
      <c r="I70" s="18" t="s">
        <v>349</v>
      </c>
      <c r="J70" s="20" t="s">
        <v>349</v>
      </c>
      <c r="K70" s="18" t="n">
        <v>0.36143886</v>
      </c>
      <c r="L70" s="20" t="n">
        <v>0.25741842</v>
      </c>
      <c r="M70" s="18" t="n">
        <v>2.51689426</v>
      </c>
      <c r="N70" s="20" t="n">
        <v>0.84265922</v>
      </c>
      <c r="O70" s="18" t="n">
        <v>0</v>
      </c>
      <c r="P70" s="20" t="n">
        <v>0</v>
      </c>
      <c r="Q70" s="18" t="n">
        <v>19.75250665</v>
      </c>
      <c r="R70" s="20" t="n">
        <v>3.11628559</v>
      </c>
    </row>
    <row r="71" spans="1:18">
      <c r="A71" s="15" t="s">
        <v>413</v>
      </c>
      <c r="B71" s="17" t="n">
        <v>2973</v>
      </c>
      <c r="C71" s="18">
        <f>(2634.0/B71*100)</f>
        <v/>
      </c>
      <c r="D71" s="19" t="n">
        <v>339</v>
      </c>
      <c r="E71" s="18" t="n">
        <v>61.87219065</v>
      </c>
      <c r="F71" s="20" t="n">
        <v>2.48958328</v>
      </c>
      <c r="G71" s="18" t="n">
        <v>32.63361839</v>
      </c>
      <c r="H71" s="20" t="n">
        <v>2.54977222</v>
      </c>
      <c r="I71" s="18" t="s">
        <v>349</v>
      </c>
      <c r="J71" s="20" t="s">
        <v>349</v>
      </c>
      <c r="K71" s="18" t="n">
        <v>0</v>
      </c>
      <c r="L71" s="20" t="n">
        <v>0</v>
      </c>
      <c r="M71" s="18" t="n">
        <v>0</v>
      </c>
      <c r="N71" s="20" t="n">
        <v>0</v>
      </c>
      <c r="O71" s="18" t="n">
        <v>0</v>
      </c>
      <c r="P71" s="20" t="n">
        <v>0</v>
      </c>
      <c r="Q71" s="18" t="n">
        <v>5.49419097</v>
      </c>
      <c r="R71" s="20" t="n">
        <v>1.05552583</v>
      </c>
    </row>
    <row r="72" spans="1:18">
      <c r="A72" s="15" t="s">
        <v>414</v>
      </c>
      <c r="B72" s="17" t="n">
        <v>3819</v>
      </c>
      <c r="C72" s="18">
        <f>(3352.0/B72*100)</f>
        <v/>
      </c>
      <c r="D72" s="19" t="n">
        <v>467</v>
      </c>
      <c r="E72" s="18" t="n">
        <v>68.89294925</v>
      </c>
      <c r="F72" s="20" t="n">
        <v>2.25096768</v>
      </c>
      <c r="G72" s="18" t="n">
        <v>15.28554063</v>
      </c>
      <c r="H72" s="20" t="n">
        <v>2.01088484</v>
      </c>
      <c r="I72" s="18" t="s">
        <v>349</v>
      </c>
      <c r="J72" s="20" t="s">
        <v>349</v>
      </c>
      <c r="K72" s="18" t="n">
        <v>0</v>
      </c>
      <c r="L72" s="20" t="n">
        <v>0</v>
      </c>
      <c r="M72" s="18" t="n">
        <v>0</v>
      </c>
      <c r="N72" s="20" t="n">
        <v>0</v>
      </c>
      <c r="O72" s="18" t="n">
        <v>0</v>
      </c>
      <c r="P72" s="20" t="n">
        <v>0</v>
      </c>
      <c r="Q72" s="18" t="n">
        <v>15.82151012</v>
      </c>
      <c r="R72" s="20" t="n">
        <v>1.6419594</v>
      </c>
    </row>
    <row r="73" spans="1:18">
      <c r="A73" s="15" t="s">
        <v>415</v>
      </c>
      <c r="B73" s="17" t="n">
        <v>4652</v>
      </c>
      <c r="C73" s="18">
        <f>(4077.0/B73*100)</f>
        <v/>
      </c>
      <c r="D73" s="19" t="n">
        <v>575</v>
      </c>
      <c r="E73" s="18" t="n">
        <v>89.43882207999999</v>
      </c>
      <c r="F73" s="20" t="n">
        <v>1.76698491</v>
      </c>
      <c r="G73" s="18" t="n">
        <v>2.11206174</v>
      </c>
      <c r="H73" s="20" t="n">
        <v>0.82495371</v>
      </c>
      <c r="I73" s="18" t="s">
        <v>349</v>
      </c>
      <c r="J73" s="20" t="s">
        <v>349</v>
      </c>
      <c r="K73" s="18" t="n">
        <v>0</v>
      </c>
      <c r="L73" s="20" t="n">
        <v>0</v>
      </c>
      <c r="M73" s="18" t="n">
        <v>0.10793245</v>
      </c>
      <c r="N73" s="20" t="n">
        <v>0.10819438</v>
      </c>
      <c r="O73" s="18" t="n">
        <v>0</v>
      </c>
      <c r="P73" s="20" t="n">
        <v>0</v>
      </c>
      <c r="Q73" s="18" t="n">
        <v>8.341183729999999</v>
      </c>
      <c r="R73" s="20" t="n">
        <v>1.56974877</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(2615.0/B75*100)</f>
        <v/>
      </c>
      <c r="D75" s="19" t="n">
        <v>354</v>
      </c>
      <c r="E75" s="18" t="n">
        <v>60.61820107</v>
      </c>
      <c r="F75" s="20" t="n">
        <v>2.54082875</v>
      </c>
      <c r="G75" s="18" t="n">
        <v>0.25861174</v>
      </c>
      <c r="H75" s="20" t="n">
        <v>0.25792395</v>
      </c>
      <c r="I75" s="18" t="s">
        <v>349</v>
      </c>
      <c r="J75" s="20" t="s">
        <v>349</v>
      </c>
      <c r="K75" s="18" t="n">
        <v>2.6979025</v>
      </c>
      <c r="L75" s="20" t="n">
        <v>0.93890814</v>
      </c>
      <c r="M75" s="18" t="n">
        <v>0</v>
      </c>
      <c r="N75" s="20" t="n">
        <v>0</v>
      </c>
      <c r="O75" s="18" t="n">
        <v>0</v>
      </c>
      <c r="P75" s="20" t="n">
        <v>0</v>
      </c>
      <c r="Q75" s="18" t="n">
        <v>36.42528469</v>
      </c>
      <c r="R75" s="20" t="n">
        <v>2.72130918</v>
      </c>
    </row>
    <row r="76" spans="1:18">
      <c r="A76" s="15" t="s">
        <v>418</v>
      </c>
      <c r="B76" s="17" t="n">
        <v>7115</v>
      </c>
      <c r="C76" s="18">
        <f>(6280.0/B76*100)</f>
        <v/>
      </c>
      <c r="D76" s="19" t="n">
        <v>835</v>
      </c>
      <c r="E76" s="18" t="n">
        <v>82.94462926999999</v>
      </c>
      <c r="F76" s="20" t="n">
        <v>1.30971008</v>
      </c>
      <c r="G76" s="18" t="n">
        <v>3.98920415</v>
      </c>
      <c r="H76" s="20" t="n">
        <v>0.73480402</v>
      </c>
      <c r="I76" s="18" t="s">
        <v>349</v>
      </c>
      <c r="J76" s="20" t="s">
        <v>349</v>
      </c>
      <c r="K76" s="18" t="n">
        <v>0.68428095</v>
      </c>
      <c r="L76" s="20" t="n">
        <v>0.34076129</v>
      </c>
      <c r="M76" s="18" t="n">
        <v>0.08701830000000001</v>
      </c>
      <c r="N76" s="20" t="n">
        <v>0.08814063</v>
      </c>
      <c r="O76" s="18" t="n">
        <v>0</v>
      </c>
      <c r="P76" s="20" t="n">
        <v>0</v>
      </c>
      <c r="Q76" s="18" t="n">
        <v>12.29486733</v>
      </c>
      <c r="R76" s="20" t="n">
        <v>1.14997236</v>
      </c>
    </row>
    <row r="77" spans="1:18">
      <c r="A77" s="15" t="s">
        <v>419</v>
      </c>
      <c r="B77" s="17" t="n">
        <v>3154</v>
      </c>
      <c r="C77" s="18">
        <f>(2778.0/B77*100)</f>
        <v/>
      </c>
      <c r="D77" s="19" t="n">
        <v>376</v>
      </c>
      <c r="E77" s="18" t="n">
        <v>52.97987382</v>
      </c>
      <c r="F77" s="20" t="n">
        <v>2.38910269</v>
      </c>
      <c r="G77" s="18" t="n">
        <v>1.39656005</v>
      </c>
      <c r="H77" s="20" t="n">
        <v>0.62347038</v>
      </c>
      <c r="I77" s="18" t="s">
        <v>349</v>
      </c>
      <c r="J77" s="20" t="s">
        <v>349</v>
      </c>
      <c r="K77" s="18" t="n">
        <v>1.28390421</v>
      </c>
      <c r="L77" s="20" t="n">
        <v>0.6141705200000001</v>
      </c>
      <c r="M77" s="18" t="n">
        <v>4.69402099</v>
      </c>
      <c r="N77" s="20" t="n">
        <v>0.930447</v>
      </c>
      <c r="O77" s="18" t="n">
        <v>0</v>
      </c>
      <c r="P77" s="20" t="n">
        <v>0</v>
      </c>
      <c r="Q77" s="18" t="n">
        <v>39.64564093</v>
      </c>
      <c r="R77" s="20" t="n">
        <v>2.66199493</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(4127.0/B81*100)</f>
        <v/>
      </c>
      <c r="D81" s="19" t="n">
        <v>571</v>
      </c>
      <c r="E81" s="18" t="n">
        <v>89.96117855</v>
      </c>
      <c r="F81" s="20" t="n">
        <v>1.55128342</v>
      </c>
      <c r="G81" s="18" t="n">
        <v>1.44938016</v>
      </c>
      <c r="H81" s="20" t="n">
        <v>0.59499859</v>
      </c>
      <c r="I81" s="18" t="s">
        <v>349</v>
      </c>
      <c r="J81" s="20" t="s">
        <v>349</v>
      </c>
      <c r="K81" s="18" t="n">
        <v>0.28214891</v>
      </c>
      <c r="L81" s="20" t="n">
        <v>0.27930625</v>
      </c>
      <c r="M81" s="18" t="n">
        <v>0</v>
      </c>
      <c r="N81" s="20" t="n">
        <v>0</v>
      </c>
      <c r="O81" s="18" t="n">
        <v>0</v>
      </c>
      <c r="P81" s="20" t="n">
        <v>0</v>
      </c>
      <c r="Q81" s="18" t="n">
        <v>8.30729238</v>
      </c>
      <c r="R81" s="20" t="n">
        <v>1.37720127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(6309.0/B7*100)</f>
        <v/>
      </c>
      <c r="D7" s="19" t="n">
        <v>854</v>
      </c>
      <c r="E7" s="18" t="n">
        <v>38.95300934</v>
      </c>
      <c r="F7" s="20" t="n">
        <v>2.20636041</v>
      </c>
      <c r="G7" s="18" t="n">
        <v>60.23705913</v>
      </c>
      <c r="H7" s="20" t="n">
        <v>2.24551123</v>
      </c>
      <c r="I7" s="18" t="s">
        <v>349</v>
      </c>
      <c r="J7" s="20" t="s">
        <v>349</v>
      </c>
      <c r="K7" s="18" t="n">
        <v>0.52732222</v>
      </c>
      <c r="L7" s="20" t="n">
        <v>0.28789546</v>
      </c>
      <c r="M7" s="18" t="n">
        <v>0</v>
      </c>
      <c r="N7" s="20" t="n">
        <v>0</v>
      </c>
      <c r="O7" s="18" t="n">
        <v>0</v>
      </c>
      <c r="P7" s="20" t="n">
        <v>0</v>
      </c>
      <c r="Q7" s="18" t="n">
        <v>0.28260931</v>
      </c>
      <c r="R7" s="20" t="n">
        <v>0.23334658</v>
      </c>
    </row>
    <row r="8" spans="1:18">
      <c r="A8" s="15" t="s">
        <v>350</v>
      </c>
      <c r="B8" s="17" t="n">
        <v>3443</v>
      </c>
      <c r="C8" s="18">
        <f>(3031.0/B8*100)</f>
        <v/>
      </c>
      <c r="D8" s="19" t="n">
        <v>412</v>
      </c>
      <c r="E8" s="18" t="n">
        <v>45.10115796</v>
      </c>
      <c r="F8" s="20" t="n">
        <v>2.38240629</v>
      </c>
      <c r="G8" s="18" t="n">
        <v>53.99361248</v>
      </c>
      <c r="H8" s="20" t="n">
        <v>2.39145876</v>
      </c>
      <c r="I8" s="18" t="s">
        <v>349</v>
      </c>
      <c r="J8" s="20" t="s">
        <v>349</v>
      </c>
      <c r="K8" s="18" t="n">
        <v>0</v>
      </c>
      <c r="L8" s="20" t="n">
        <v>0</v>
      </c>
      <c r="M8" s="18" t="n">
        <v>0</v>
      </c>
      <c r="N8" s="20" t="n">
        <v>0</v>
      </c>
      <c r="O8" s="18" t="n">
        <v>0</v>
      </c>
      <c r="P8" s="20" t="n">
        <v>0</v>
      </c>
      <c r="Q8" s="18" t="n">
        <v>0.90522956</v>
      </c>
      <c r="R8" s="20" t="n">
        <v>0.42698846</v>
      </c>
    </row>
    <row r="9" spans="1:18">
      <c r="A9" s="15" t="s">
        <v>351</v>
      </c>
      <c r="B9" s="17" t="n">
        <v>4752</v>
      </c>
      <c r="C9" s="18">
        <f>(4180.0/B9*100)</f>
        <v/>
      </c>
      <c r="D9" s="19" t="n">
        <v>572</v>
      </c>
      <c r="E9" s="18" t="n">
        <v>39.85694873</v>
      </c>
      <c r="F9" s="20" t="n">
        <v>2.5226323</v>
      </c>
      <c r="G9" s="18" t="n">
        <v>59.24427022</v>
      </c>
      <c r="H9" s="20" t="n">
        <v>2.57159097</v>
      </c>
      <c r="I9" s="18" t="s">
        <v>349</v>
      </c>
      <c r="J9" s="20" t="s">
        <v>349</v>
      </c>
      <c r="K9" s="18" t="n">
        <v>0.26778393</v>
      </c>
      <c r="L9" s="20" t="n">
        <v>0.25894982</v>
      </c>
      <c r="M9" s="18" t="n">
        <v>0</v>
      </c>
      <c r="N9" s="20" t="n">
        <v>0</v>
      </c>
      <c r="O9" s="18" t="n">
        <v>0</v>
      </c>
      <c r="P9" s="20" t="n">
        <v>0</v>
      </c>
      <c r="Q9" s="18" t="n">
        <v>0.63099712</v>
      </c>
      <c r="R9" s="20" t="n">
        <v>0.3695714</v>
      </c>
    </row>
    <row r="10" spans="1:18">
      <c r="A10" s="15" t="s">
        <v>352</v>
      </c>
      <c r="B10" s="17" t="n">
        <v>10022</v>
      </c>
      <c r="C10" s="18">
        <f>(8782.0/B10*100)</f>
        <v/>
      </c>
      <c r="D10" s="19" t="n">
        <v>1240</v>
      </c>
      <c r="E10" s="18" t="n">
        <v>37.89860854</v>
      </c>
      <c r="F10" s="20" t="n">
        <v>1.93992412</v>
      </c>
      <c r="G10" s="18" t="n">
        <v>61.83366419</v>
      </c>
      <c r="H10" s="20" t="n">
        <v>1.93935703</v>
      </c>
      <c r="I10" s="18" t="s">
        <v>349</v>
      </c>
      <c r="J10" s="20" t="s">
        <v>349</v>
      </c>
      <c r="K10" s="18" t="n">
        <v>0.13730213</v>
      </c>
      <c r="L10" s="20" t="n">
        <v>0.06673227</v>
      </c>
      <c r="M10" s="18" t="n">
        <v>0</v>
      </c>
      <c r="N10" s="20" t="n">
        <v>0</v>
      </c>
      <c r="O10" s="18" t="n">
        <v>0</v>
      </c>
      <c r="P10" s="20" t="n">
        <v>0</v>
      </c>
      <c r="Q10" s="18" t="n">
        <v>0.13042515</v>
      </c>
      <c r="R10" s="20" t="n">
        <v>0.07565719999999999</v>
      </c>
    </row>
    <row r="11" spans="1:18">
      <c r="A11" s="15" t="s">
        <v>353</v>
      </c>
      <c r="B11" s="17" t="n">
        <v>3500</v>
      </c>
      <c r="C11" s="18">
        <f>(3080.0/B11*100)</f>
        <v/>
      </c>
      <c r="D11" s="19" t="n">
        <v>420</v>
      </c>
      <c r="E11" s="18" t="n">
        <v>50.09241321</v>
      </c>
      <c r="F11" s="20" t="n">
        <v>2.20316057</v>
      </c>
      <c r="G11" s="18" t="n">
        <v>48.14575298</v>
      </c>
      <c r="H11" s="20" t="n">
        <v>2.17998094</v>
      </c>
      <c r="I11" s="18" t="s">
        <v>349</v>
      </c>
      <c r="J11" s="20" t="s">
        <v>349</v>
      </c>
      <c r="K11" s="18" t="n">
        <v>0.61297567</v>
      </c>
      <c r="L11" s="20" t="n">
        <v>0.41728965</v>
      </c>
      <c r="M11" s="18" t="n">
        <v>0</v>
      </c>
      <c r="N11" s="20" t="n">
        <v>0</v>
      </c>
      <c r="O11" s="18" t="n">
        <v>0</v>
      </c>
      <c r="P11" s="20" t="n">
        <v>0</v>
      </c>
      <c r="Q11" s="18" t="n">
        <v>1.14885814</v>
      </c>
      <c r="R11" s="20" t="n">
        <v>0.5093899</v>
      </c>
    </row>
    <row r="12" spans="1:18">
      <c r="A12" s="15" t="s">
        <v>354</v>
      </c>
      <c r="B12" s="17" t="n">
        <v>3422</v>
      </c>
      <c r="C12" s="18">
        <f>(2977.0/B12*100)</f>
        <v/>
      </c>
      <c r="D12" s="19" t="n">
        <v>445</v>
      </c>
      <c r="E12" s="18" t="n">
        <v>45.07090407</v>
      </c>
      <c r="F12" s="20" t="n">
        <v>2.76830727</v>
      </c>
      <c r="G12" s="18" t="n">
        <v>54.16331295</v>
      </c>
      <c r="H12" s="20" t="n">
        <v>2.67103993</v>
      </c>
      <c r="I12" s="18" t="s">
        <v>349</v>
      </c>
      <c r="J12" s="20" t="s">
        <v>349</v>
      </c>
      <c r="K12" s="18" t="n">
        <v>0.09207875</v>
      </c>
      <c r="L12" s="20" t="n">
        <v>0.09066422</v>
      </c>
      <c r="M12" s="18" t="n">
        <v>0</v>
      </c>
      <c r="N12" s="20" t="n">
        <v>0</v>
      </c>
      <c r="O12" s="18" t="n">
        <v>0</v>
      </c>
      <c r="P12" s="20" t="n">
        <v>0</v>
      </c>
      <c r="Q12" s="18" t="n">
        <v>0.67370423</v>
      </c>
      <c r="R12" s="20" t="n">
        <v>0.60715106</v>
      </c>
    </row>
    <row r="13" spans="1:18">
      <c r="A13" s="15" t="s">
        <v>355</v>
      </c>
      <c r="B13" s="17" t="n">
        <v>3602</v>
      </c>
      <c r="C13" s="18">
        <f>(3158.0/B13*100)</f>
        <v/>
      </c>
      <c r="D13" s="19" t="n">
        <v>444</v>
      </c>
      <c r="E13" s="18" t="n">
        <v>34.64314373</v>
      </c>
      <c r="F13" s="20" t="n">
        <v>2.42656503</v>
      </c>
      <c r="G13" s="18" t="n">
        <v>64.08085143</v>
      </c>
      <c r="H13" s="20" t="n">
        <v>2.43487807</v>
      </c>
      <c r="I13" s="18" t="s">
        <v>349</v>
      </c>
      <c r="J13" s="20" t="s">
        <v>349</v>
      </c>
      <c r="K13" s="18" t="n">
        <v>0.87533061</v>
      </c>
      <c r="L13" s="20" t="n">
        <v>0.56237435</v>
      </c>
      <c r="M13" s="18" t="n">
        <v>0</v>
      </c>
      <c r="N13" s="20" t="n">
        <v>0</v>
      </c>
      <c r="O13" s="18" t="n">
        <v>0</v>
      </c>
      <c r="P13" s="20" t="n">
        <v>0</v>
      </c>
      <c r="Q13" s="18" t="n">
        <v>0.40067424</v>
      </c>
      <c r="R13" s="20" t="n">
        <v>0.41857065</v>
      </c>
    </row>
    <row r="14" spans="1:18">
      <c r="A14" s="15" t="s">
        <v>356</v>
      </c>
      <c r="B14" s="17" t="n">
        <v>2788</v>
      </c>
      <c r="C14" s="18">
        <f>(2425.0/B14*100)</f>
        <v/>
      </c>
      <c r="D14" s="19" t="n">
        <v>363</v>
      </c>
      <c r="E14" s="18" t="n">
        <v>42.92074887</v>
      </c>
      <c r="F14" s="20" t="n">
        <v>2.29197849</v>
      </c>
      <c r="G14" s="18" t="n">
        <v>56.78300599</v>
      </c>
      <c r="H14" s="20" t="n">
        <v>2.27745625</v>
      </c>
      <c r="I14" s="18" t="s">
        <v>349</v>
      </c>
      <c r="J14" s="20" t="s">
        <v>349</v>
      </c>
      <c r="K14" s="18" t="n">
        <v>0</v>
      </c>
      <c r="L14" s="20" t="n">
        <v>0</v>
      </c>
      <c r="M14" s="18" t="n">
        <v>0</v>
      </c>
      <c r="N14" s="20" t="n">
        <v>0</v>
      </c>
      <c r="O14" s="18" t="n">
        <v>0</v>
      </c>
      <c r="P14" s="20" t="n">
        <v>0</v>
      </c>
      <c r="Q14" s="18" t="n">
        <v>0.29624514</v>
      </c>
      <c r="R14" s="20" t="n">
        <v>0.28632361</v>
      </c>
    </row>
    <row r="15" spans="1:18">
      <c r="A15" s="15" t="s">
        <v>357</v>
      </c>
      <c r="B15" s="17" t="n">
        <v>2863</v>
      </c>
      <c r="C15" s="18">
        <f>(2515.0/B15*100)</f>
        <v/>
      </c>
      <c r="D15" s="19" t="n">
        <v>348</v>
      </c>
      <c r="E15" s="18" t="n">
        <v>22.40248062</v>
      </c>
      <c r="F15" s="20" t="n">
        <v>2.29932674</v>
      </c>
      <c r="G15" s="18" t="n">
        <v>76.70331462999999</v>
      </c>
      <c r="H15" s="20" t="n">
        <v>2.29522171</v>
      </c>
      <c r="I15" s="18" t="s">
        <v>349</v>
      </c>
      <c r="J15" s="20" t="s">
        <v>349</v>
      </c>
      <c r="K15" s="18" t="n">
        <v>0</v>
      </c>
      <c r="L15" s="20" t="n">
        <v>0</v>
      </c>
      <c r="M15" s="18" t="n">
        <v>0</v>
      </c>
      <c r="N15" s="20" t="n">
        <v>0</v>
      </c>
      <c r="O15" s="18" t="n">
        <v>0</v>
      </c>
      <c r="P15" s="20" t="n">
        <v>0</v>
      </c>
      <c r="Q15" s="18" t="n">
        <v>0.89420475</v>
      </c>
      <c r="R15" s="20" t="n">
        <v>0.50816577</v>
      </c>
    </row>
    <row r="16" spans="1:18">
      <c r="A16" s="15" t="s">
        <v>358</v>
      </c>
      <c r="B16" s="17" t="n">
        <v>3111</v>
      </c>
      <c r="C16" s="18">
        <f>(2742.0/B16*100)</f>
        <v/>
      </c>
      <c r="D16" s="19" t="n">
        <v>369</v>
      </c>
      <c r="E16" s="18" t="n">
        <v>42.75113507</v>
      </c>
      <c r="F16" s="20" t="n">
        <v>2.45641233</v>
      </c>
      <c r="G16" s="18" t="n">
        <v>54.48184848</v>
      </c>
      <c r="H16" s="20" t="n">
        <v>2.29897059</v>
      </c>
      <c r="I16" s="18" t="s">
        <v>349</v>
      </c>
      <c r="J16" s="20" t="s">
        <v>349</v>
      </c>
      <c r="K16" s="18" t="n">
        <v>0.8697337000000001</v>
      </c>
      <c r="L16" s="20" t="n">
        <v>0.47390549</v>
      </c>
      <c r="M16" s="18" t="n">
        <v>0</v>
      </c>
      <c r="N16" s="20" t="n">
        <v>0</v>
      </c>
      <c r="O16" s="18" t="n">
        <v>0</v>
      </c>
      <c r="P16" s="20" t="n">
        <v>0</v>
      </c>
      <c r="Q16" s="18" t="n">
        <v>1.89728275</v>
      </c>
      <c r="R16" s="20" t="n">
        <v>0.98188346</v>
      </c>
    </row>
    <row r="17" spans="1:18">
      <c r="A17" s="15" t="s">
        <v>359</v>
      </c>
      <c r="B17" s="17" t="n">
        <v>3197</v>
      </c>
      <c r="C17" s="18">
        <f>(2819.0/B17*100)</f>
        <v/>
      </c>
      <c r="D17" s="19" t="n">
        <v>378</v>
      </c>
      <c r="E17" s="18" t="n">
        <v>41.1357782</v>
      </c>
      <c r="F17" s="20" t="n">
        <v>2.62081305</v>
      </c>
      <c r="G17" s="18" t="n">
        <v>57.70852194</v>
      </c>
      <c r="H17" s="20" t="n">
        <v>2.66215767</v>
      </c>
      <c r="I17" s="18" t="s">
        <v>349</v>
      </c>
      <c r="J17" s="20" t="s">
        <v>349</v>
      </c>
      <c r="K17" s="18" t="n">
        <v>0</v>
      </c>
      <c r="L17" s="20" t="n">
        <v>0</v>
      </c>
      <c r="M17" s="18" t="n">
        <v>0</v>
      </c>
      <c r="N17" s="20" t="n">
        <v>0</v>
      </c>
      <c r="O17" s="18" t="n">
        <v>0</v>
      </c>
      <c r="P17" s="20" t="n">
        <v>0</v>
      </c>
      <c r="Q17" s="18" t="n">
        <v>1.15569986</v>
      </c>
      <c r="R17" s="20" t="n">
        <v>0.56221359</v>
      </c>
    </row>
    <row r="18" spans="1:18">
      <c r="A18" s="15" t="s">
        <v>360</v>
      </c>
      <c r="B18" s="17" t="n">
        <v>2706</v>
      </c>
      <c r="C18" s="18">
        <f>(2366.0/B18*100)</f>
        <v/>
      </c>
      <c r="D18" s="19" t="n">
        <v>340</v>
      </c>
      <c r="E18" s="18" t="n">
        <v>37.64556541</v>
      </c>
      <c r="F18" s="20" t="n">
        <v>2.63123088</v>
      </c>
      <c r="G18" s="18" t="n">
        <v>61.2714888</v>
      </c>
      <c r="H18" s="20" t="n">
        <v>2.50515342</v>
      </c>
      <c r="I18" s="18" t="s">
        <v>349</v>
      </c>
      <c r="J18" s="20" t="s">
        <v>349</v>
      </c>
      <c r="K18" s="18" t="n">
        <v>0</v>
      </c>
      <c r="L18" s="20" t="n">
        <v>0</v>
      </c>
      <c r="M18" s="18" t="n">
        <v>0</v>
      </c>
      <c r="N18" s="20" t="n">
        <v>0</v>
      </c>
      <c r="O18" s="18" t="n">
        <v>0</v>
      </c>
      <c r="P18" s="20" t="n">
        <v>0</v>
      </c>
      <c r="Q18" s="18" t="n">
        <v>1.08294579</v>
      </c>
      <c r="R18" s="20" t="n">
        <v>0.54061875</v>
      </c>
    </row>
    <row r="19" spans="1:18">
      <c r="A19" s="15" t="s">
        <v>361</v>
      </c>
      <c r="B19" s="17" t="n">
        <v>2850</v>
      </c>
      <c r="C19" s="18">
        <f>(2493.0/B19*100)</f>
        <v/>
      </c>
      <c r="D19" s="19" t="n">
        <v>357</v>
      </c>
      <c r="E19" s="18" t="n">
        <v>52.29735201</v>
      </c>
      <c r="F19" s="20" t="n">
        <v>2.90607374</v>
      </c>
      <c r="G19" s="18" t="n">
        <v>47.40785354</v>
      </c>
      <c r="H19" s="20" t="n">
        <v>2.90475386</v>
      </c>
      <c r="I19" s="18" t="s">
        <v>349</v>
      </c>
      <c r="J19" s="20" t="s">
        <v>349</v>
      </c>
      <c r="K19" s="18" t="n">
        <v>0.29479445</v>
      </c>
      <c r="L19" s="20" t="n">
        <v>0.29423152</v>
      </c>
      <c r="M19" s="18" t="n">
        <v>0</v>
      </c>
      <c r="N19" s="20" t="n">
        <v>0</v>
      </c>
      <c r="O19" s="18" t="n">
        <v>0</v>
      </c>
      <c r="P19" s="20" t="n">
        <v>0</v>
      </c>
      <c r="Q19" s="18" t="n">
        <v>0</v>
      </c>
      <c r="R19" s="20" t="n">
        <v>0</v>
      </c>
    </row>
    <row r="20" spans="1:18">
      <c r="A20" s="15" t="s">
        <v>362</v>
      </c>
      <c r="B20" s="17" t="n">
        <v>1741</v>
      </c>
      <c r="C20" s="18">
        <f>(1536.0/B20*100)</f>
        <v/>
      </c>
      <c r="D20" s="19" t="n">
        <v>205</v>
      </c>
      <c r="E20" s="18" t="n">
        <v>38.9443957</v>
      </c>
      <c r="F20" s="20" t="n">
        <v>2.89387369</v>
      </c>
      <c r="G20" s="18" t="n">
        <v>59.67207616</v>
      </c>
      <c r="H20" s="20" t="n">
        <v>2.90941852</v>
      </c>
      <c r="I20" s="18" t="s">
        <v>349</v>
      </c>
      <c r="J20" s="20" t="s">
        <v>349</v>
      </c>
      <c r="K20" s="18" t="n">
        <v>0.94457937</v>
      </c>
      <c r="L20" s="20" t="n">
        <v>0.67327989</v>
      </c>
      <c r="M20" s="18" t="n">
        <v>0</v>
      </c>
      <c r="N20" s="20" t="n">
        <v>0</v>
      </c>
      <c r="O20" s="18" t="n">
        <v>0</v>
      </c>
      <c r="P20" s="20" t="n">
        <v>0</v>
      </c>
      <c r="Q20" s="18" t="n">
        <v>0.43894877</v>
      </c>
      <c r="R20" s="20" t="n">
        <v>0.43541882</v>
      </c>
    </row>
    <row r="21" spans="1:18">
      <c r="A21" s="15" t="s">
        <v>363</v>
      </c>
      <c r="B21" s="17" t="n">
        <v>2833</v>
      </c>
      <c r="C21" s="18">
        <f>(2359.0/B21*100)</f>
        <v/>
      </c>
      <c r="D21" s="19" t="n">
        <v>474</v>
      </c>
      <c r="E21" s="18" t="n">
        <v>40.14793288</v>
      </c>
      <c r="F21" s="20" t="n">
        <v>2.59216627</v>
      </c>
      <c r="G21" s="18" t="n">
        <v>59.37774824</v>
      </c>
      <c r="H21" s="20" t="n">
        <v>2.55502238</v>
      </c>
      <c r="I21" s="18" t="s">
        <v>349</v>
      </c>
      <c r="J21" s="20" t="s">
        <v>349</v>
      </c>
      <c r="K21" s="18" t="n">
        <v>0</v>
      </c>
      <c r="L21" s="20" t="n">
        <v>0</v>
      </c>
      <c r="M21" s="18" t="n">
        <v>0</v>
      </c>
      <c r="N21" s="20" t="n">
        <v>0</v>
      </c>
      <c r="O21" s="18" t="n">
        <v>0</v>
      </c>
      <c r="P21" s="20" t="n">
        <v>0</v>
      </c>
      <c r="Q21" s="18" t="n">
        <v>0.47431888</v>
      </c>
      <c r="R21" s="20" t="n">
        <v>0.36049253</v>
      </c>
    </row>
    <row r="22" spans="1:18">
      <c r="A22" s="15" t="s">
        <v>364</v>
      </c>
      <c r="B22" s="17" t="n">
        <v>3667</v>
      </c>
      <c r="C22" s="18">
        <f>(3202.0/B22*100)</f>
        <v/>
      </c>
      <c r="D22" s="19" t="n">
        <v>465</v>
      </c>
      <c r="E22" s="18" t="n">
        <v>41.74331583</v>
      </c>
      <c r="F22" s="20" t="n">
        <v>2.40701743</v>
      </c>
      <c r="G22" s="18" t="n">
        <v>55.81726115</v>
      </c>
      <c r="H22" s="20" t="n">
        <v>2.28318606</v>
      </c>
      <c r="I22" s="18" t="s">
        <v>349</v>
      </c>
      <c r="J22" s="20" t="s">
        <v>349</v>
      </c>
      <c r="K22" s="18" t="n">
        <v>0.5660972</v>
      </c>
      <c r="L22" s="20" t="n">
        <v>0.32888447</v>
      </c>
      <c r="M22" s="18" t="n">
        <v>0</v>
      </c>
      <c r="N22" s="20" t="n">
        <v>0</v>
      </c>
      <c r="O22" s="18" t="n">
        <v>0</v>
      </c>
      <c r="P22" s="20" t="n">
        <v>0</v>
      </c>
      <c r="Q22" s="18" t="n">
        <v>1.87332583</v>
      </c>
      <c r="R22" s="20" t="n">
        <v>0.54580091</v>
      </c>
    </row>
    <row r="23" spans="1:18">
      <c r="A23" s="15" t="s">
        <v>365</v>
      </c>
      <c r="B23" s="17" t="n">
        <v>5792</v>
      </c>
      <c r="C23" s="18">
        <f>(5094.0/B23*100)</f>
        <v/>
      </c>
      <c r="D23" s="19" t="n">
        <v>698</v>
      </c>
      <c r="E23" s="18" t="n">
        <v>36.82135579</v>
      </c>
      <c r="F23" s="20" t="n">
        <v>2.96860538</v>
      </c>
      <c r="G23" s="18" t="n">
        <v>61.66568733</v>
      </c>
      <c r="H23" s="20" t="n">
        <v>3.00207521</v>
      </c>
      <c r="I23" s="18" t="s">
        <v>349</v>
      </c>
      <c r="J23" s="20" t="s">
        <v>349</v>
      </c>
      <c r="K23" s="18" t="n">
        <v>0.42774162</v>
      </c>
      <c r="L23" s="20" t="n">
        <v>0.30209454</v>
      </c>
      <c r="M23" s="18" t="n">
        <v>0</v>
      </c>
      <c r="N23" s="20" t="n">
        <v>0</v>
      </c>
      <c r="O23" s="18" t="n">
        <v>0</v>
      </c>
      <c r="P23" s="20" t="n">
        <v>0</v>
      </c>
      <c r="Q23" s="18" t="n">
        <v>1.08521526</v>
      </c>
      <c r="R23" s="20" t="n">
        <v>0.64182291</v>
      </c>
    </row>
    <row r="24" spans="1:18">
      <c r="A24" s="15" t="s">
        <v>366</v>
      </c>
      <c r="B24" s="17" t="n">
        <v>3309</v>
      </c>
      <c r="C24" s="18">
        <f>(2903.0/B24*100)</f>
        <v/>
      </c>
      <c r="D24" s="19" t="n">
        <v>406</v>
      </c>
      <c r="E24" s="18" t="n">
        <v>36.87002527</v>
      </c>
      <c r="F24" s="20" t="n">
        <v>2.29886496</v>
      </c>
      <c r="G24" s="18" t="n">
        <v>62.65024899</v>
      </c>
      <c r="H24" s="20" t="n">
        <v>2.33308962</v>
      </c>
      <c r="I24" s="18" t="s">
        <v>349</v>
      </c>
      <c r="J24" s="20" t="s">
        <v>349</v>
      </c>
      <c r="K24" s="18" t="n">
        <v>0</v>
      </c>
      <c r="L24" s="20" t="n">
        <v>0</v>
      </c>
      <c r="M24" s="18" t="n">
        <v>0</v>
      </c>
      <c r="N24" s="20" t="n">
        <v>0</v>
      </c>
      <c r="O24" s="18" t="n">
        <v>0</v>
      </c>
      <c r="P24" s="20" t="n">
        <v>0</v>
      </c>
      <c r="Q24" s="18" t="n">
        <v>0.47972574</v>
      </c>
      <c r="R24" s="20" t="n">
        <v>0.32790346</v>
      </c>
    </row>
    <row r="25" spans="1:18">
      <c r="A25" s="15" t="s">
        <v>367</v>
      </c>
      <c r="B25" s="17" t="n">
        <v>2669</v>
      </c>
      <c r="C25" s="18">
        <f>(2330.0/B25*100)</f>
        <v/>
      </c>
      <c r="D25" s="19" t="n">
        <v>339</v>
      </c>
      <c r="E25" s="18" t="n">
        <v>25.898679</v>
      </c>
      <c r="F25" s="20" t="n">
        <v>2.50960166</v>
      </c>
      <c r="G25" s="18" t="n">
        <v>72.98731496000001</v>
      </c>
      <c r="H25" s="20" t="n">
        <v>2.50274743</v>
      </c>
      <c r="I25" s="18" t="s">
        <v>349</v>
      </c>
      <c r="J25" s="20" t="s">
        <v>349</v>
      </c>
      <c r="K25" s="18" t="n">
        <v>0.30639674</v>
      </c>
      <c r="L25" s="20" t="n">
        <v>0.30463023</v>
      </c>
      <c r="M25" s="18" t="n">
        <v>0</v>
      </c>
      <c r="N25" s="20" t="n">
        <v>0</v>
      </c>
      <c r="O25" s="18" t="n">
        <v>0</v>
      </c>
      <c r="P25" s="20" t="n">
        <v>0</v>
      </c>
      <c r="Q25" s="18" t="n">
        <v>0.8076093</v>
      </c>
      <c r="R25" s="20" t="n">
        <v>0.48001298</v>
      </c>
    </row>
    <row r="26" spans="1:18">
      <c r="A26" s="15" t="s">
        <v>368</v>
      </c>
      <c r="B26" s="17" t="n">
        <v>2419</v>
      </c>
      <c r="C26" s="18">
        <f>(2130.0/B26*100)</f>
        <v/>
      </c>
      <c r="D26" s="19" t="n">
        <v>289</v>
      </c>
      <c r="E26" s="18" t="n">
        <v>46.3102034</v>
      </c>
      <c r="F26" s="20" t="n">
        <v>3.05521737</v>
      </c>
      <c r="G26" s="18" t="n">
        <v>53.42557761</v>
      </c>
      <c r="H26" s="20" t="n">
        <v>3.0443438</v>
      </c>
      <c r="I26" s="18" t="s">
        <v>349</v>
      </c>
      <c r="J26" s="20" t="s">
        <v>349</v>
      </c>
      <c r="K26" s="18" t="n">
        <v>0.26421899</v>
      </c>
      <c r="L26" s="20" t="n">
        <v>0.27114568</v>
      </c>
      <c r="M26" s="18" t="n">
        <v>0</v>
      </c>
      <c r="N26" s="20" t="n">
        <v>0</v>
      </c>
      <c r="O26" s="18" t="n">
        <v>0</v>
      </c>
      <c r="P26" s="20" t="n">
        <v>0</v>
      </c>
      <c r="Q26" s="18" t="n">
        <v>0</v>
      </c>
      <c r="R26" s="20" t="n">
        <v>0</v>
      </c>
    </row>
    <row r="27" spans="1:18">
      <c r="A27" s="15" t="s">
        <v>369</v>
      </c>
      <c r="B27" s="17" t="n">
        <v>2683</v>
      </c>
      <c r="C27" s="18">
        <f>(2356.0/B27*100)</f>
        <v/>
      </c>
      <c r="D27" s="19" t="n">
        <v>327</v>
      </c>
      <c r="E27" s="18" t="n">
        <v>42.22913498</v>
      </c>
      <c r="F27" s="20" t="n">
        <v>2.61173041</v>
      </c>
      <c r="G27" s="18" t="n">
        <v>55.57651371</v>
      </c>
      <c r="H27" s="20" t="n">
        <v>2.71870709</v>
      </c>
      <c r="I27" s="18" t="s">
        <v>349</v>
      </c>
      <c r="J27" s="20" t="s">
        <v>349</v>
      </c>
      <c r="K27" s="18" t="n">
        <v>0</v>
      </c>
      <c r="L27" s="20" t="n">
        <v>0</v>
      </c>
      <c r="M27" s="18" t="n">
        <v>0</v>
      </c>
      <c r="N27" s="20" t="n">
        <v>0</v>
      </c>
      <c r="O27" s="18" t="n">
        <v>0</v>
      </c>
      <c r="P27" s="20" t="n">
        <v>0</v>
      </c>
      <c r="Q27" s="18" t="n">
        <v>2.19435131</v>
      </c>
      <c r="R27" s="20" t="n">
        <v>0.81339977</v>
      </c>
    </row>
    <row r="28" spans="1:18">
      <c r="A28" s="15" t="s">
        <v>370</v>
      </c>
      <c r="B28" s="17" t="n">
        <v>3803</v>
      </c>
      <c r="C28" s="18">
        <f>(3366.0/B28*100)</f>
        <v/>
      </c>
      <c r="D28" s="19" t="n">
        <v>437</v>
      </c>
      <c r="E28" s="18" t="n">
        <v>57.38785427</v>
      </c>
      <c r="F28" s="20" t="n">
        <v>2.81980479</v>
      </c>
      <c r="G28" s="18" t="n">
        <v>41.0830477</v>
      </c>
      <c r="H28" s="20" t="n">
        <v>2.82311971</v>
      </c>
      <c r="I28" s="18" t="s">
        <v>349</v>
      </c>
      <c r="J28" s="20" t="s">
        <v>349</v>
      </c>
      <c r="K28" s="18" t="n">
        <v>0.67594263</v>
      </c>
      <c r="L28" s="20" t="n">
        <v>0.48177116</v>
      </c>
      <c r="M28" s="18" t="n">
        <v>0</v>
      </c>
      <c r="N28" s="20" t="n">
        <v>0</v>
      </c>
      <c r="O28" s="18" t="n">
        <v>0</v>
      </c>
      <c r="P28" s="20" t="n">
        <v>0</v>
      </c>
      <c r="Q28" s="18" t="n">
        <v>0.85315539</v>
      </c>
      <c r="R28" s="20" t="n">
        <v>0.29086932</v>
      </c>
    </row>
    <row r="29" spans="1:18">
      <c r="A29" s="15" t="s">
        <v>371</v>
      </c>
      <c r="B29" s="17" t="n">
        <v>2700</v>
      </c>
      <c r="C29" s="18">
        <f>(2358.0/B29*100)</f>
        <v/>
      </c>
      <c r="D29" s="19" t="n">
        <v>342</v>
      </c>
      <c r="E29" s="18" t="n">
        <v>37.52258489</v>
      </c>
      <c r="F29" s="20" t="n">
        <v>2.87031984</v>
      </c>
      <c r="G29" s="18" t="n">
        <v>62.0968108</v>
      </c>
      <c r="H29" s="20" t="n">
        <v>2.91116565</v>
      </c>
      <c r="I29" s="18" t="s">
        <v>349</v>
      </c>
      <c r="J29" s="20" t="s">
        <v>349</v>
      </c>
      <c r="K29" s="18" t="n">
        <v>0.38060431</v>
      </c>
      <c r="L29" s="20" t="n">
        <v>0.29319164</v>
      </c>
      <c r="M29" s="18" t="n">
        <v>0</v>
      </c>
      <c r="N29" s="20" t="n">
        <v>0</v>
      </c>
      <c r="O29" s="18" t="n">
        <v>0</v>
      </c>
      <c r="P29" s="20" t="n">
        <v>0</v>
      </c>
      <c r="Q29" s="18" t="n">
        <v>0</v>
      </c>
      <c r="R29" s="20" t="n">
        <v>0</v>
      </c>
    </row>
    <row r="30" spans="1:18">
      <c r="A30" s="15" t="s">
        <v>372</v>
      </c>
      <c r="B30" s="17" t="n">
        <v>2257</v>
      </c>
      <c r="C30" s="18">
        <f>(1974.0/B30*100)</f>
        <v/>
      </c>
      <c r="D30" s="19" t="n">
        <v>283</v>
      </c>
      <c r="E30" s="18" t="n">
        <v>38.95898286</v>
      </c>
      <c r="F30" s="20" t="n">
        <v>2.57226517</v>
      </c>
      <c r="G30" s="18" t="n">
        <v>60.68433296</v>
      </c>
      <c r="H30" s="20" t="n">
        <v>2.5965054</v>
      </c>
      <c r="I30" s="18" t="s">
        <v>349</v>
      </c>
      <c r="J30" s="20" t="s">
        <v>349</v>
      </c>
      <c r="K30" s="18" t="n">
        <v>0</v>
      </c>
      <c r="L30" s="20" t="n">
        <v>0</v>
      </c>
      <c r="M30" s="18" t="n">
        <v>0</v>
      </c>
      <c r="N30" s="20" t="n">
        <v>0</v>
      </c>
      <c r="O30" s="18" t="n">
        <v>0</v>
      </c>
      <c r="P30" s="20" t="n">
        <v>0</v>
      </c>
      <c r="Q30" s="18" t="n">
        <v>0.35668418</v>
      </c>
      <c r="R30" s="20" t="n">
        <v>0.38804004</v>
      </c>
    </row>
    <row r="31" spans="1:18">
      <c r="A31" s="15" t="s">
        <v>373</v>
      </c>
      <c r="B31" s="17" t="n">
        <v>2706</v>
      </c>
      <c r="C31" s="18">
        <f>(2387.0/B31*100)</f>
        <v/>
      </c>
      <c r="D31" s="19" t="n">
        <v>319</v>
      </c>
      <c r="E31" s="18" t="n">
        <v>34.57880831</v>
      </c>
      <c r="F31" s="20" t="n">
        <v>2.33715545</v>
      </c>
      <c r="G31" s="18" t="n">
        <v>63.18321354</v>
      </c>
      <c r="H31" s="20" t="n">
        <v>2.33639154</v>
      </c>
      <c r="I31" s="18" t="s">
        <v>349</v>
      </c>
      <c r="J31" s="20" t="s">
        <v>349</v>
      </c>
      <c r="K31" s="18" t="n">
        <v>0.62699712</v>
      </c>
      <c r="L31" s="20" t="n">
        <v>0.43477005</v>
      </c>
      <c r="M31" s="18" t="n">
        <v>0</v>
      </c>
      <c r="N31" s="20" t="n">
        <v>0</v>
      </c>
      <c r="O31" s="18" t="n">
        <v>0</v>
      </c>
      <c r="P31" s="20" t="n">
        <v>0</v>
      </c>
      <c r="Q31" s="18" t="n">
        <v>1.61098103</v>
      </c>
      <c r="R31" s="20" t="n">
        <v>0.73935845</v>
      </c>
    </row>
    <row r="32" spans="1:18">
      <c r="A32" s="15" t="s">
        <v>374</v>
      </c>
      <c r="B32" s="17" t="n">
        <v>2209</v>
      </c>
      <c r="C32" s="18">
        <f>(1840.0/B32*100)</f>
        <v/>
      </c>
      <c r="D32" s="19" t="n">
        <v>369</v>
      </c>
      <c r="E32" s="18" t="n">
        <v>50.08285744</v>
      </c>
      <c r="F32" s="20" t="n">
        <v>3.06467146</v>
      </c>
      <c r="G32" s="18" t="n">
        <v>49.65977917</v>
      </c>
      <c r="H32" s="20" t="n">
        <v>3.06269929</v>
      </c>
      <c r="I32" s="18" t="s">
        <v>349</v>
      </c>
      <c r="J32" s="20" t="s">
        <v>349</v>
      </c>
      <c r="K32" s="18" t="n">
        <v>0.25736339</v>
      </c>
      <c r="L32" s="20" t="n">
        <v>0.26961788</v>
      </c>
      <c r="M32" s="18" t="n">
        <v>0</v>
      </c>
      <c r="N32" s="20" t="n">
        <v>0</v>
      </c>
      <c r="O32" s="18" t="n">
        <v>0</v>
      </c>
      <c r="P32" s="20" t="n">
        <v>0</v>
      </c>
      <c r="Q32" s="18" t="n">
        <v>0</v>
      </c>
      <c r="R32" s="20" t="n">
        <v>0</v>
      </c>
    </row>
    <row r="33" spans="1:18">
      <c r="A33" s="15" t="s">
        <v>375</v>
      </c>
      <c r="B33" s="17" t="n">
        <v>3651</v>
      </c>
      <c r="C33" s="18">
        <f>(3209.0/B33*100)</f>
        <v/>
      </c>
      <c r="D33" s="19" t="n">
        <v>442</v>
      </c>
      <c r="E33" s="18" t="n">
        <v>33.61408574</v>
      </c>
      <c r="F33" s="20" t="n">
        <v>3.02066323</v>
      </c>
      <c r="G33" s="18" t="n">
        <v>66.33135661</v>
      </c>
      <c r="H33" s="20" t="n">
        <v>3.02385009</v>
      </c>
      <c r="I33" s="18" t="s">
        <v>349</v>
      </c>
      <c r="J33" s="20" t="s">
        <v>349</v>
      </c>
      <c r="K33" s="18" t="n">
        <v>0</v>
      </c>
      <c r="L33" s="20" t="n">
        <v>0</v>
      </c>
      <c r="M33" s="18" t="n">
        <v>0</v>
      </c>
      <c r="N33" s="20" t="n">
        <v>0</v>
      </c>
      <c r="O33" s="18" t="n">
        <v>0</v>
      </c>
      <c r="P33" s="20" t="n">
        <v>0</v>
      </c>
      <c r="Q33" s="18" t="n">
        <v>0.05455765</v>
      </c>
      <c r="R33" s="20" t="n">
        <v>0.05480286</v>
      </c>
    </row>
    <row r="34" spans="1:18">
      <c r="A34" s="15" t="s">
        <v>376</v>
      </c>
      <c r="B34" s="17" t="n">
        <v>3035</v>
      </c>
      <c r="C34" s="18">
        <f>(2671.0/B34*100)</f>
        <v/>
      </c>
      <c r="D34" s="19" t="n">
        <v>364</v>
      </c>
      <c r="E34" s="18" t="n">
        <v>48.01206022</v>
      </c>
      <c r="F34" s="20" t="n">
        <v>2.76834637</v>
      </c>
      <c r="G34" s="18" t="n">
        <v>51.20330024</v>
      </c>
      <c r="H34" s="20" t="n">
        <v>2.91923986</v>
      </c>
      <c r="I34" s="18" t="s">
        <v>349</v>
      </c>
      <c r="J34" s="20" t="s">
        <v>349</v>
      </c>
      <c r="K34" s="18" t="n">
        <v>0</v>
      </c>
      <c r="L34" s="20" t="n">
        <v>0</v>
      </c>
      <c r="M34" s="18" t="n">
        <v>0</v>
      </c>
      <c r="N34" s="20" t="n">
        <v>0</v>
      </c>
      <c r="O34" s="18" t="n">
        <v>0</v>
      </c>
      <c r="P34" s="20" t="n">
        <v>0</v>
      </c>
      <c r="Q34" s="18" t="n">
        <v>0.78463954</v>
      </c>
      <c r="R34" s="20" t="n">
        <v>0.50747919</v>
      </c>
    </row>
    <row r="35" spans="1:18">
      <c r="A35" s="15" t="s">
        <v>377</v>
      </c>
      <c r="B35" s="17" t="n">
        <v>2901</v>
      </c>
      <c r="C35" s="18">
        <f>(2521.0/B35*100)</f>
        <v/>
      </c>
      <c r="D35" s="19" t="n">
        <v>380</v>
      </c>
      <c r="E35" s="18" t="n">
        <v>38.33846382</v>
      </c>
      <c r="F35" s="20" t="n">
        <v>3.07410271</v>
      </c>
      <c r="G35" s="18" t="n">
        <v>61.43693064</v>
      </c>
      <c r="H35" s="20" t="n">
        <v>3.03329505</v>
      </c>
      <c r="I35" s="18" t="s">
        <v>349</v>
      </c>
      <c r="J35" s="20" t="s">
        <v>349</v>
      </c>
      <c r="K35" s="18" t="n">
        <v>0.09936818</v>
      </c>
      <c r="L35" s="20" t="n">
        <v>0.10021434</v>
      </c>
      <c r="M35" s="18" t="n">
        <v>0</v>
      </c>
      <c r="N35" s="20" t="n">
        <v>0</v>
      </c>
      <c r="O35" s="18" t="n">
        <v>0</v>
      </c>
      <c r="P35" s="20" t="n">
        <v>0</v>
      </c>
      <c r="Q35" s="18" t="n">
        <v>0.12523737</v>
      </c>
      <c r="R35" s="20" t="n">
        <v>0.12628803</v>
      </c>
    </row>
    <row r="36" spans="1:18">
      <c r="A36" s="15" t="s">
        <v>378</v>
      </c>
      <c r="B36" s="17" t="n">
        <v>3404</v>
      </c>
      <c r="C36" s="18">
        <f>(2980.0/B36*100)</f>
        <v/>
      </c>
      <c r="D36" s="19" t="n">
        <v>424</v>
      </c>
      <c r="E36" s="18" t="n">
        <v>40.90985042</v>
      </c>
      <c r="F36" s="20" t="n">
        <v>2.76120768</v>
      </c>
      <c r="G36" s="18" t="n">
        <v>58.48368635</v>
      </c>
      <c r="H36" s="20" t="n">
        <v>2.69863411</v>
      </c>
      <c r="I36" s="18" t="s">
        <v>349</v>
      </c>
      <c r="J36" s="20" t="s">
        <v>349</v>
      </c>
      <c r="K36" s="18" t="n">
        <v>0.38767246</v>
      </c>
      <c r="L36" s="20" t="n">
        <v>0.34595436</v>
      </c>
      <c r="M36" s="18" t="n">
        <v>0</v>
      </c>
      <c r="N36" s="20" t="n">
        <v>0</v>
      </c>
      <c r="O36" s="18" t="n">
        <v>0</v>
      </c>
      <c r="P36" s="20" t="n">
        <v>0</v>
      </c>
      <c r="Q36" s="18" t="n">
        <v>0.21879076</v>
      </c>
      <c r="R36" s="20" t="n">
        <v>0.2173151</v>
      </c>
    </row>
    <row r="37" spans="1:18">
      <c r="A37" s="15" t="s">
        <v>379</v>
      </c>
      <c r="B37" s="17" t="n">
        <v>2731</v>
      </c>
      <c r="C37" s="18">
        <f>(2387.0/B37*100)</f>
        <v/>
      </c>
      <c r="D37" s="19" t="n">
        <v>344</v>
      </c>
      <c r="E37" s="18" t="n">
        <v>39.31202728</v>
      </c>
      <c r="F37" s="20" t="n">
        <v>3.01855744</v>
      </c>
      <c r="G37" s="18" t="n">
        <v>60.12907088</v>
      </c>
      <c r="H37" s="20" t="n">
        <v>3.04303541</v>
      </c>
      <c r="I37" s="18" t="s">
        <v>349</v>
      </c>
      <c r="J37" s="20" t="s">
        <v>349</v>
      </c>
      <c r="K37" s="18" t="n">
        <v>0</v>
      </c>
      <c r="L37" s="20" t="n">
        <v>0</v>
      </c>
      <c r="M37" s="18" t="n">
        <v>0</v>
      </c>
      <c r="N37" s="20" t="n">
        <v>0</v>
      </c>
      <c r="O37" s="18" t="n">
        <v>0</v>
      </c>
      <c r="P37" s="20" t="n">
        <v>0</v>
      </c>
      <c r="Q37" s="18" t="n">
        <v>0.55890184</v>
      </c>
      <c r="R37" s="20" t="n">
        <v>0.40162683</v>
      </c>
    </row>
    <row r="38" spans="1:18">
      <c r="A38" s="15" t="s">
        <v>380</v>
      </c>
      <c r="B38" s="17" t="n">
        <v>2807</v>
      </c>
      <c r="C38" s="18">
        <f>(2327.0/B38*100)</f>
        <v/>
      </c>
      <c r="D38" s="19" t="n">
        <v>480</v>
      </c>
      <c r="E38" s="18" t="n">
        <v>40.85661397</v>
      </c>
      <c r="F38" s="20" t="n">
        <v>2.57399216</v>
      </c>
      <c r="G38" s="18" t="n">
        <v>57.97965489</v>
      </c>
      <c r="H38" s="20" t="n">
        <v>2.48487808</v>
      </c>
      <c r="I38" s="18" t="s">
        <v>349</v>
      </c>
      <c r="J38" s="20" t="s">
        <v>349</v>
      </c>
      <c r="K38" s="18" t="n">
        <v>0.05898808</v>
      </c>
      <c r="L38" s="20" t="n">
        <v>0.03996117</v>
      </c>
      <c r="M38" s="18" t="n">
        <v>0</v>
      </c>
      <c r="N38" s="20" t="n">
        <v>0</v>
      </c>
      <c r="O38" s="18" t="n">
        <v>0</v>
      </c>
      <c r="P38" s="20" t="n">
        <v>0</v>
      </c>
      <c r="Q38" s="18" t="n">
        <v>1.10474306</v>
      </c>
      <c r="R38" s="20" t="n">
        <v>0.75466164</v>
      </c>
    </row>
    <row r="39" spans="1:18">
      <c r="A39" s="15" t="s">
        <v>381</v>
      </c>
      <c r="B39" s="17" t="n">
        <v>2938</v>
      </c>
      <c r="C39" s="18">
        <f>(2601.0/B39*100)</f>
        <v/>
      </c>
      <c r="D39" s="19" t="n">
        <v>337</v>
      </c>
      <c r="E39" s="18" t="n">
        <v>49.28803754</v>
      </c>
      <c r="F39" s="20" t="n">
        <v>3.54698656</v>
      </c>
      <c r="G39" s="18" t="n">
        <v>47.85767767</v>
      </c>
      <c r="H39" s="20" t="n">
        <v>3.72894335</v>
      </c>
      <c r="I39" s="18" t="s">
        <v>349</v>
      </c>
      <c r="J39" s="20" t="s">
        <v>349</v>
      </c>
      <c r="K39" s="18" t="n">
        <v>1.25801483</v>
      </c>
      <c r="L39" s="20" t="n">
        <v>0.60979012</v>
      </c>
      <c r="M39" s="18" t="n">
        <v>0</v>
      </c>
      <c r="N39" s="20" t="n">
        <v>0</v>
      </c>
      <c r="O39" s="18" t="n">
        <v>0</v>
      </c>
      <c r="P39" s="20" t="n">
        <v>0</v>
      </c>
      <c r="Q39" s="18" t="n">
        <v>1.59626996</v>
      </c>
      <c r="R39" s="20" t="n">
        <v>0.54724056</v>
      </c>
    </row>
    <row r="40" spans="1:18">
      <c r="A40" s="15" t="s">
        <v>382</v>
      </c>
      <c r="B40" s="17" t="n">
        <v>6922</v>
      </c>
      <c r="C40" s="18">
        <f>(6092.0/B40*100)</f>
        <v/>
      </c>
      <c r="D40" s="19" t="n">
        <v>830</v>
      </c>
      <c r="E40" s="18" t="n">
        <v>40.78363961</v>
      </c>
      <c r="F40" s="20" t="n">
        <v>2.6572632</v>
      </c>
      <c r="G40" s="18" t="n">
        <v>57.6920408</v>
      </c>
      <c r="H40" s="20" t="n">
        <v>2.66489639</v>
      </c>
      <c r="I40" s="18" t="s">
        <v>349</v>
      </c>
      <c r="J40" s="20" t="s">
        <v>349</v>
      </c>
      <c r="K40" s="18" t="n">
        <v>0.0191013</v>
      </c>
      <c r="L40" s="20" t="n">
        <v>0.01973283</v>
      </c>
      <c r="M40" s="18" t="n">
        <v>0</v>
      </c>
      <c r="N40" s="20" t="n">
        <v>0</v>
      </c>
      <c r="O40" s="18" t="n">
        <v>0</v>
      </c>
      <c r="P40" s="20" t="n">
        <v>0</v>
      </c>
      <c r="Q40" s="18" t="n">
        <v>1.5052183</v>
      </c>
      <c r="R40" s="20" t="n">
        <v>0.71960123</v>
      </c>
    </row>
    <row r="41" spans="1:18">
      <c r="A41" s="15" t="s">
        <v>383</v>
      </c>
      <c r="B41" s="17" t="n">
        <v>2854</v>
      </c>
      <c r="C41" s="18">
        <f>(2507.0/B41*100)</f>
        <v/>
      </c>
      <c r="D41" s="19" t="n">
        <v>347</v>
      </c>
      <c r="E41" s="18" t="n">
        <v>54.34123966</v>
      </c>
      <c r="F41" s="20" t="n">
        <v>2.56244056</v>
      </c>
      <c r="G41" s="18" t="n">
        <v>45.65876034</v>
      </c>
      <c r="H41" s="20" t="n">
        <v>2.56244056</v>
      </c>
      <c r="I41" s="18" t="s">
        <v>349</v>
      </c>
      <c r="J41" s="20" t="s">
        <v>349</v>
      </c>
      <c r="K41" s="18" t="n">
        <v>0</v>
      </c>
      <c r="L41" s="20" t="n">
        <v>0</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(10782.0/B46*100)</f>
        <v/>
      </c>
      <c r="D46" s="19" t="n">
        <v>1291</v>
      </c>
      <c r="E46" s="18" t="n">
        <v>55.35978041</v>
      </c>
      <c r="F46" s="20" t="n">
        <v>1.82701529</v>
      </c>
      <c r="G46" s="18" t="n">
        <v>41.63934397</v>
      </c>
      <c r="H46" s="20" t="n">
        <v>1.90248191</v>
      </c>
      <c r="I46" s="18" t="s">
        <v>349</v>
      </c>
      <c r="J46" s="20" t="s">
        <v>349</v>
      </c>
      <c r="K46" s="18" t="n">
        <v>0.99767815</v>
      </c>
      <c r="L46" s="20" t="n">
        <v>0.38623388</v>
      </c>
      <c r="M46" s="18" t="n">
        <v>0</v>
      </c>
      <c r="N46" s="20" t="n">
        <v>0</v>
      </c>
      <c r="O46" s="18" t="n">
        <v>0</v>
      </c>
      <c r="P46" s="20" t="n">
        <v>0</v>
      </c>
      <c r="Q46" s="18" t="n">
        <v>2.00319747</v>
      </c>
      <c r="R46" s="20" t="n">
        <v>0.57439093</v>
      </c>
    </row>
    <row r="47" spans="1:18">
      <c r="A47" s="15" t="s">
        <v>389</v>
      </c>
      <c r="B47" s="17" t="n">
        <v>2823</v>
      </c>
      <c r="C47" s="18">
        <f>(2476.0/B47*100)</f>
        <v/>
      </c>
      <c r="D47" s="19" t="n">
        <v>347</v>
      </c>
      <c r="E47" s="18" t="n">
        <v>45.06213171</v>
      </c>
      <c r="F47" s="20" t="n">
        <v>2.77683147</v>
      </c>
      <c r="G47" s="18" t="n">
        <v>54.0340953</v>
      </c>
      <c r="H47" s="20" t="n">
        <v>2.79454693</v>
      </c>
      <c r="I47" s="18" t="s">
        <v>349</v>
      </c>
      <c r="J47" s="20" t="s">
        <v>349</v>
      </c>
      <c r="K47" s="18" t="n">
        <v>0.30482963</v>
      </c>
      <c r="L47" s="20" t="n">
        <v>0.27422964</v>
      </c>
      <c r="M47" s="18" t="n">
        <v>0</v>
      </c>
      <c r="N47" s="20" t="n">
        <v>0</v>
      </c>
      <c r="O47" s="18" t="n">
        <v>0</v>
      </c>
      <c r="P47" s="20" t="n">
        <v>0</v>
      </c>
      <c r="Q47" s="18" t="n">
        <v>0.59894335</v>
      </c>
      <c r="R47" s="20" t="n">
        <v>0.6514592</v>
      </c>
    </row>
    <row r="48" spans="1:18">
      <c r="A48" s="15" t="s">
        <v>390</v>
      </c>
      <c r="B48" s="17" t="n">
        <v>4682</v>
      </c>
      <c r="C48" s="18">
        <f>(4108.0/B48*100)</f>
        <v/>
      </c>
      <c r="D48" s="19" t="n">
        <v>574</v>
      </c>
      <c r="E48" s="18" t="n">
        <v>22.98689452</v>
      </c>
      <c r="F48" s="20" t="n">
        <v>1.85502574</v>
      </c>
      <c r="G48" s="18" t="n">
        <v>76.15556931</v>
      </c>
      <c r="H48" s="20" t="n">
        <v>1.94206787</v>
      </c>
      <c r="I48" s="18" t="s">
        <v>349</v>
      </c>
      <c r="J48" s="20" t="s">
        <v>349</v>
      </c>
      <c r="K48" s="18" t="n">
        <v>0</v>
      </c>
      <c r="L48" s="20" t="n">
        <v>0</v>
      </c>
      <c r="M48" s="18" t="n">
        <v>0</v>
      </c>
      <c r="N48" s="20" t="n">
        <v>0</v>
      </c>
      <c r="O48" s="18" t="n">
        <v>0</v>
      </c>
      <c r="P48" s="20" t="n">
        <v>0</v>
      </c>
      <c r="Q48" s="18" t="n">
        <v>0.85753617</v>
      </c>
      <c r="R48" s="20" t="n">
        <v>0.58918943</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(5445.0/B50*100)</f>
        <v/>
      </c>
      <c r="D50" s="19" t="n">
        <v>713</v>
      </c>
      <c r="E50" s="18" t="n">
        <v>50.04841996</v>
      </c>
      <c r="F50" s="20" t="n">
        <v>2.46751277</v>
      </c>
      <c r="G50" s="18" t="n">
        <v>48.04213063</v>
      </c>
      <c r="H50" s="20" t="n">
        <v>2.52915824</v>
      </c>
      <c r="I50" s="18" t="s">
        <v>349</v>
      </c>
      <c r="J50" s="20" t="s">
        <v>349</v>
      </c>
      <c r="K50" s="18" t="n">
        <v>1.46975709</v>
      </c>
      <c r="L50" s="20" t="n">
        <v>0.60100225</v>
      </c>
      <c r="M50" s="18" t="n">
        <v>0</v>
      </c>
      <c r="N50" s="20" t="n">
        <v>0</v>
      </c>
      <c r="O50" s="18" t="n">
        <v>0</v>
      </c>
      <c r="P50" s="20" t="n">
        <v>0</v>
      </c>
      <c r="Q50" s="18" t="n">
        <v>0.43969232</v>
      </c>
      <c r="R50" s="20" t="n">
        <v>0.31031455</v>
      </c>
    </row>
    <row r="51" spans="1:18">
      <c r="A51" s="15" t="s">
        <v>393</v>
      </c>
      <c r="B51" s="17" t="n">
        <v>3494</v>
      </c>
      <c r="C51" s="18">
        <f>(3133.0/B51*100)</f>
        <v/>
      </c>
      <c r="D51" s="19" t="n">
        <v>361</v>
      </c>
      <c r="E51" s="18" t="n">
        <v>59.41843022</v>
      </c>
      <c r="F51" s="20" t="n">
        <v>3.16434924</v>
      </c>
      <c r="G51" s="18" t="n">
        <v>40.09886886</v>
      </c>
      <c r="H51" s="20" t="n">
        <v>3.14377918</v>
      </c>
      <c r="I51" s="18" t="s">
        <v>349</v>
      </c>
      <c r="J51" s="20" t="s">
        <v>349</v>
      </c>
      <c r="K51" s="18" t="n">
        <v>0</v>
      </c>
      <c r="L51" s="20" t="n">
        <v>0</v>
      </c>
      <c r="M51" s="18" t="n">
        <v>0</v>
      </c>
      <c r="N51" s="20" t="n">
        <v>0</v>
      </c>
      <c r="O51" s="18" t="n">
        <v>0</v>
      </c>
      <c r="P51" s="20" t="n">
        <v>0</v>
      </c>
      <c r="Q51" s="18" t="n">
        <v>0.48270092</v>
      </c>
      <c r="R51" s="20" t="n">
        <v>0.51103272</v>
      </c>
    </row>
    <row r="52" spans="1:18">
      <c r="A52" s="15" t="s">
        <v>394</v>
      </c>
      <c r="B52" s="17" t="n">
        <v>3013</v>
      </c>
      <c r="C52" s="18">
        <f>(2652.0/B52*100)</f>
        <v/>
      </c>
      <c r="D52" s="19" t="n">
        <v>361</v>
      </c>
      <c r="E52" s="18" t="n">
        <v>49.81532339</v>
      </c>
      <c r="F52" s="20" t="n">
        <v>2.97499675</v>
      </c>
      <c r="G52" s="18" t="n">
        <v>50.18467661</v>
      </c>
      <c r="H52" s="20" t="n">
        <v>2.97499675</v>
      </c>
      <c r="I52" s="18" t="s">
        <v>349</v>
      </c>
      <c r="J52" s="20" t="s">
        <v>349</v>
      </c>
      <c r="K52" s="18" t="n">
        <v>0</v>
      </c>
      <c r="L52" s="20" t="n">
        <v>0</v>
      </c>
      <c r="M52" s="18" t="n">
        <v>0</v>
      </c>
      <c r="N52" s="20" t="n">
        <v>0</v>
      </c>
      <c r="O52" s="18" t="n">
        <v>0</v>
      </c>
      <c r="P52" s="20" t="n">
        <v>0</v>
      </c>
      <c r="Q52" s="18" t="n">
        <v>0</v>
      </c>
      <c r="R52" s="20" t="n">
        <v>0</v>
      </c>
    </row>
    <row r="53" spans="1:18">
      <c r="A53" s="15" t="s">
        <v>395</v>
      </c>
      <c r="B53" s="17" t="n">
        <v>2760</v>
      </c>
      <c r="C53" s="18">
        <f>(2430.0/B53*100)</f>
        <v/>
      </c>
      <c r="D53" s="19" t="n">
        <v>330</v>
      </c>
      <c r="E53" s="18" t="n">
        <v>48.68619528</v>
      </c>
      <c r="F53" s="20" t="n">
        <v>3.34556656</v>
      </c>
      <c r="G53" s="18" t="n">
        <v>51.10141194</v>
      </c>
      <c r="H53" s="20" t="n">
        <v>3.33963164</v>
      </c>
      <c r="I53" s="18" t="s">
        <v>349</v>
      </c>
      <c r="J53" s="20" t="s">
        <v>349</v>
      </c>
      <c r="K53" s="18" t="n">
        <v>0</v>
      </c>
      <c r="L53" s="20" t="n">
        <v>0</v>
      </c>
      <c r="M53" s="18" t="n">
        <v>0</v>
      </c>
      <c r="N53" s="20" t="n">
        <v>0</v>
      </c>
      <c r="O53" s="18" t="n">
        <v>0</v>
      </c>
      <c r="P53" s="20" t="n">
        <v>0</v>
      </c>
      <c r="Q53" s="18" t="n">
        <v>0.21239278</v>
      </c>
      <c r="R53" s="20" t="n">
        <v>0.21392848</v>
      </c>
    </row>
    <row r="54" spans="1:18">
      <c r="A54" s="15" t="s">
        <v>396</v>
      </c>
      <c r="B54" s="17" t="n">
        <v>2474</v>
      </c>
      <c r="C54" s="18">
        <f>(2046.0/B54*100)</f>
        <v/>
      </c>
      <c r="D54" s="19" t="n">
        <v>428</v>
      </c>
      <c r="E54" s="18" t="n">
        <v>58.5057115</v>
      </c>
      <c r="F54" s="20" t="n">
        <v>2.47322368</v>
      </c>
      <c r="G54" s="18" t="n">
        <v>30.42514801</v>
      </c>
      <c r="H54" s="20" t="n">
        <v>2.54230662</v>
      </c>
      <c r="I54" s="18" t="s">
        <v>349</v>
      </c>
      <c r="J54" s="20" t="s">
        <v>349</v>
      </c>
      <c r="K54" s="18" t="n">
        <v>9.549251419999999</v>
      </c>
      <c r="L54" s="20" t="n">
        <v>1.54151226</v>
      </c>
      <c r="M54" s="18" t="n">
        <v>0</v>
      </c>
      <c r="N54" s="20" t="n">
        <v>0</v>
      </c>
      <c r="O54" s="18" t="n">
        <v>0</v>
      </c>
      <c r="P54" s="20" t="n">
        <v>0</v>
      </c>
      <c r="Q54" s="18" t="n">
        <v>1.51988906</v>
      </c>
      <c r="R54" s="20" t="n">
        <v>0.61286537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18.58096397</v>
      </c>
      <c r="F56" s="20" t="n">
        <v>1.99515435</v>
      </c>
      <c r="G56" s="18" t="n">
        <v>81.08706821</v>
      </c>
      <c r="H56" s="20" t="n">
        <v>2.08711651</v>
      </c>
      <c r="I56" s="18" t="s">
        <v>349</v>
      </c>
      <c r="J56" s="20" t="s">
        <v>349</v>
      </c>
      <c r="K56" s="18" t="n">
        <v>0</v>
      </c>
      <c r="L56" s="20" t="n">
        <v>0</v>
      </c>
      <c r="M56" s="18" t="n">
        <v>0</v>
      </c>
      <c r="N56" s="20" t="n">
        <v>0</v>
      </c>
      <c r="O56" s="18" t="n">
        <v>0</v>
      </c>
      <c r="P56" s="20" t="n">
        <v>0</v>
      </c>
      <c r="Q56" s="18" t="n">
        <v>0.33196782</v>
      </c>
      <c r="R56" s="20" t="n">
        <v>0.34916431</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(2790.0/B61*100)</f>
        <v/>
      </c>
      <c r="D61" s="19" t="n">
        <v>411</v>
      </c>
      <c r="E61" s="18" t="n">
        <v>45.26679946</v>
      </c>
      <c r="F61" s="20" t="n">
        <v>2.61732317</v>
      </c>
      <c r="G61" s="18" t="n">
        <v>53.71093605</v>
      </c>
      <c r="H61" s="20" t="n">
        <v>2.77121171</v>
      </c>
      <c r="I61" s="18" t="s">
        <v>349</v>
      </c>
      <c r="J61" s="20" t="s">
        <v>349</v>
      </c>
      <c r="K61" s="18" t="n">
        <v>0.71420158</v>
      </c>
      <c r="L61" s="20" t="n">
        <v>0.6960252099999999</v>
      </c>
      <c r="M61" s="18" t="n">
        <v>0</v>
      </c>
      <c r="N61" s="20" t="n">
        <v>0</v>
      </c>
      <c r="O61" s="18" t="n">
        <v>0</v>
      </c>
      <c r="P61" s="20" t="n">
        <v>0</v>
      </c>
      <c r="Q61" s="18" t="n">
        <v>0.30806291</v>
      </c>
      <c r="R61" s="20" t="n">
        <v>0.42308764</v>
      </c>
    </row>
    <row r="62" spans="1:18">
      <c r="A62" s="15" t="s">
        <v>404</v>
      </c>
      <c r="B62" s="17" t="n">
        <v>2230</v>
      </c>
      <c r="C62" s="18">
        <f>(1959.0/B62*100)</f>
        <v/>
      </c>
      <c r="D62" s="19" t="n">
        <v>271</v>
      </c>
      <c r="E62" s="18" t="n">
        <v>14.02571279</v>
      </c>
      <c r="F62" s="20" t="n">
        <v>2.06572308</v>
      </c>
      <c r="G62" s="18" t="n">
        <v>85.97428721</v>
      </c>
      <c r="H62" s="20" t="n">
        <v>2.06572308</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(2437.0/B66*100)</f>
        <v/>
      </c>
      <c r="D66" s="19" t="n">
        <v>334</v>
      </c>
      <c r="E66" s="18" t="n">
        <v>55.477335</v>
      </c>
      <c r="F66" s="20" t="n">
        <v>3.00853873</v>
      </c>
      <c r="G66" s="18" t="n">
        <v>41.44429425</v>
      </c>
      <c r="H66" s="20" t="n">
        <v>2.89579055</v>
      </c>
      <c r="I66" s="18" t="s">
        <v>349</v>
      </c>
      <c r="J66" s="20" t="s">
        <v>349</v>
      </c>
      <c r="K66" s="18" t="n">
        <v>0.53066177</v>
      </c>
      <c r="L66" s="20" t="n">
        <v>0.37042511</v>
      </c>
      <c r="M66" s="18" t="n">
        <v>0</v>
      </c>
      <c r="N66" s="20" t="n">
        <v>0</v>
      </c>
      <c r="O66" s="18" t="n">
        <v>0</v>
      </c>
      <c r="P66" s="20" t="n">
        <v>0</v>
      </c>
      <c r="Q66" s="18" t="n">
        <v>2.54770898</v>
      </c>
      <c r="R66" s="20" t="n">
        <v>0.83087882</v>
      </c>
    </row>
    <row r="67" spans="1:18">
      <c r="A67" s="15" t="s">
        <v>409</v>
      </c>
      <c r="B67" s="17" t="n">
        <v>3460</v>
      </c>
      <c r="C67" s="18">
        <f>(3074.0/B67*100)</f>
        <v/>
      </c>
      <c r="D67" s="19" t="n">
        <v>386</v>
      </c>
      <c r="E67" s="18" t="n">
        <v>57.39099413</v>
      </c>
      <c r="F67" s="20" t="n">
        <v>2.15134885</v>
      </c>
      <c r="G67" s="18" t="n">
        <v>40.97012922</v>
      </c>
      <c r="H67" s="20" t="n">
        <v>2.30746014</v>
      </c>
      <c r="I67" s="18" t="s">
        <v>349</v>
      </c>
      <c r="J67" s="20" t="s">
        <v>349</v>
      </c>
      <c r="K67" s="18" t="n">
        <v>0.67323275</v>
      </c>
      <c r="L67" s="20" t="n">
        <v>0.67563797</v>
      </c>
      <c r="M67" s="18" t="n">
        <v>0</v>
      </c>
      <c r="N67" s="20" t="n">
        <v>0</v>
      </c>
      <c r="O67" s="18" t="n">
        <v>0</v>
      </c>
      <c r="P67" s="20" t="n">
        <v>0</v>
      </c>
      <c r="Q67" s="18" t="n">
        <v>0.9656439</v>
      </c>
      <c r="R67" s="20" t="n">
        <v>0.51872538</v>
      </c>
    </row>
    <row r="68" spans="1:18">
      <c r="A68" s="15" t="s">
        <v>410</v>
      </c>
      <c r="B68" s="17" t="n">
        <v>6034</v>
      </c>
      <c r="C68" s="18">
        <f>(5043.0/B68*100)</f>
        <v/>
      </c>
      <c r="D68" s="19" t="n">
        <v>991</v>
      </c>
      <c r="E68" s="18" t="n">
        <v>52.59259338</v>
      </c>
      <c r="F68" s="20" t="n">
        <v>1.71361658</v>
      </c>
      <c r="G68" s="18" t="n">
        <v>45.21001048</v>
      </c>
      <c r="H68" s="20" t="n">
        <v>1.71161721</v>
      </c>
      <c r="I68" s="18" t="s">
        <v>349</v>
      </c>
      <c r="J68" s="20" t="s">
        <v>349</v>
      </c>
      <c r="K68" s="18" t="n">
        <v>1.19730067</v>
      </c>
      <c r="L68" s="20" t="n">
        <v>0.31502096</v>
      </c>
      <c r="M68" s="18" t="n">
        <v>0</v>
      </c>
      <c r="N68" s="20" t="n">
        <v>0</v>
      </c>
      <c r="O68" s="18" t="n">
        <v>0</v>
      </c>
      <c r="P68" s="20" t="n">
        <v>0</v>
      </c>
      <c r="Q68" s="18" t="n">
        <v>1.00009547</v>
      </c>
      <c r="R68" s="20" t="n">
        <v>0.27823147</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(2776.0/B70*100)</f>
        <v/>
      </c>
      <c r="D70" s="19" t="n">
        <v>331</v>
      </c>
      <c r="E70" s="18" t="n">
        <v>43.26602252</v>
      </c>
      <c r="F70" s="20" t="n">
        <v>2.62080496</v>
      </c>
      <c r="G70" s="18" t="n">
        <v>55.982815</v>
      </c>
      <c r="H70" s="20" t="n">
        <v>2.7111071</v>
      </c>
      <c r="I70" s="18" t="s">
        <v>349</v>
      </c>
      <c r="J70" s="20" t="s">
        <v>349</v>
      </c>
      <c r="K70" s="18" t="n">
        <v>0.36097633</v>
      </c>
      <c r="L70" s="20" t="n">
        <v>0.25709637</v>
      </c>
      <c r="M70" s="18" t="n">
        <v>0</v>
      </c>
      <c r="N70" s="20" t="n">
        <v>0</v>
      </c>
      <c r="O70" s="18" t="n">
        <v>0</v>
      </c>
      <c r="P70" s="20" t="n">
        <v>0</v>
      </c>
      <c r="Q70" s="18" t="n">
        <v>0.39018616</v>
      </c>
      <c r="R70" s="20" t="n">
        <v>0.38558305</v>
      </c>
    </row>
    <row r="71" spans="1:18">
      <c r="A71" s="15" t="s">
        <v>413</v>
      </c>
      <c r="B71" s="17" t="n">
        <v>2973</v>
      </c>
      <c r="C71" s="18">
        <f>(2635.0/B71*100)</f>
        <v/>
      </c>
      <c r="D71" s="19" t="n">
        <v>338</v>
      </c>
      <c r="E71" s="18" t="n">
        <v>26.18471686</v>
      </c>
      <c r="F71" s="20" t="n">
        <v>2.48571775</v>
      </c>
      <c r="G71" s="18" t="n">
        <v>73.81528314000001</v>
      </c>
      <c r="H71" s="20" t="n">
        <v>2.48571775</v>
      </c>
      <c r="I71" s="18" t="s">
        <v>349</v>
      </c>
      <c r="J71" s="20" t="s">
        <v>349</v>
      </c>
      <c r="K71" s="18" t="n">
        <v>0</v>
      </c>
      <c r="L71" s="20" t="n">
        <v>0</v>
      </c>
      <c r="M71" s="18" t="n">
        <v>0</v>
      </c>
      <c r="N71" s="20" t="n">
        <v>0</v>
      </c>
      <c r="O71" s="18" t="n">
        <v>0</v>
      </c>
      <c r="P71" s="20" t="n">
        <v>0</v>
      </c>
      <c r="Q71" s="18" t="n">
        <v>0</v>
      </c>
      <c r="R71" s="20" t="n">
        <v>0</v>
      </c>
    </row>
    <row r="72" spans="1:18">
      <c r="A72" s="15" t="s">
        <v>414</v>
      </c>
      <c r="B72" s="17" t="n">
        <v>3819</v>
      </c>
      <c r="C72" s="18">
        <f>(3352.0/B72*100)</f>
        <v/>
      </c>
      <c r="D72" s="19" t="n">
        <v>467</v>
      </c>
      <c r="E72" s="18" t="n">
        <v>16.55471797</v>
      </c>
      <c r="F72" s="20" t="n">
        <v>1.89265837</v>
      </c>
      <c r="G72" s="18" t="n">
        <v>83.0193855</v>
      </c>
      <c r="H72" s="20" t="n">
        <v>1.93751895</v>
      </c>
      <c r="I72" s="18" t="s">
        <v>349</v>
      </c>
      <c r="J72" s="20" t="s">
        <v>349</v>
      </c>
      <c r="K72" s="18" t="n">
        <v>0</v>
      </c>
      <c r="L72" s="20" t="n">
        <v>0</v>
      </c>
      <c r="M72" s="18" t="n">
        <v>0</v>
      </c>
      <c r="N72" s="20" t="n">
        <v>0</v>
      </c>
      <c r="O72" s="18" t="n">
        <v>0</v>
      </c>
      <c r="P72" s="20" t="n">
        <v>0</v>
      </c>
      <c r="Q72" s="18" t="n">
        <v>0.42589652</v>
      </c>
      <c r="R72" s="20" t="n">
        <v>0.31680257</v>
      </c>
    </row>
    <row r="73" spans="1:18">
      <c r="A73" s="15" t="s">
        <v>415</v>
      </c>
      <c r="B73" s="17" t="n">
        <v>4652</v>
      </c>
      <c r="C73" s="18">
        <f>(4081.0/B73*100)</f>
        <v/>
      </c>
      <c r="D73" s="19" t="n">
        <v>571</v>
      </c>
      <c r="E73" s="18" t="n">
        <v>44.73083104</v>
      </c>
      <c r="F73" s="20" t="n">
        <v>2.3979925</v>
      </c>
      <c r="G73" s="18" t="n">
        <v>55.02176125</v>
      </c>
      <c r="H73" s="20" t="n">
        <v>2.40745289</v>
      </c>
      <c r="I73" s="18" t="s">
        <v>349</v>
      </c>
      <c r="J73" s="20" t="s">
        <v>349</v>
      </c>
      <c r="K73" s="18" t="n">
        <v>0</v>
      </c>
      <c r="L73" s="20" t="n">
        <v>0</v>
      </c>
      <c r="M73" s="18" t="n">
        <v>0</v>
      </c>
      <c r="N73" s="20" t="n">
        <v>0</v>
      </c>
      <c r="O73" s="18" t="n">
        <v>0</v>
      </c>
      <c r="P73" s="20" t="n">
        <v>0</v>
      </c>
      <c r="Q73" s="18" t="n">
        <v>0.24740771</v>
      </c>
      <c r="R73" s="20" t="n">
        <v>0.24793254</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(2618.0/B75*100)</f>
        <v/>
      </c>
      <c r="D75" s="19" t="n">
        <v>351</v>
      </c>
      <c r="E75" s="18" t="n">
        <v>51.6786513</v>
      </c>
      <c r="F75" s="20" t="n">
        <v>2.67758464</v>
      </c>
      <c r="G75" s="18" t="n">
        <v>44.32705501</v>
      </c>
      <c r="H75" s="20" t="n">
        <v>2.4784144</v>
      </c>
      <c r="I75" s="18" t="s">
        <v>349</v>
      </c>
      <c r="J75" s="20" t="s">
        <v>349</v>
      </c>
      <c r="K75" s="18" t="n">
        <v>2.98634352</v>
      </c>
      <c r="L75" s="20" t="n">
        <v>0.97375314</v>
      </c>
      <c r="M75" s="18" t="n">
        <v>0</v>
      </c>
      <c r="N75" s="20" t="n">
        <v>0</v>
      </c>
      <c r="O75" s="18" t="n">
        <v>0</v>
      </c>
      <c r="P75" s="20" t="n">
        <v>0</v>
      </c>
      <c r="Q75" s="18" t="n">
        <v>1.00795017</v>
      </c>
      <c r="R75" s="20" t="n">
        <v>0.58129449</v>
      </c>
    </row>
    <row r="76" spans="1:18">
      <c r="A76" s="15" t="s">
        <v>418</v>
      </c>
      <c r="B76" s="17" t="n">
        <v>7115</v>
      </c>
      <c r="C76" s="18">
        <f>(6279.0/B76*100)</f>
        <v/>
      </c>
      <c r="D76" s="19" t="n">
        <v>836</v>
      </c>
      <c r="E76" s="18" t="n">
        <v>44.23856205</v>
      </c>
      <c r="F76" s="20" t="n">
        <v>2.39888662</v>
      </c>
      <c r="G76" s="18" t="n">
        <v>54.58030152</v>
      </c>
      <c r="H76" s="20" t="n">
        <v>2.49151576</v>
      </c>
      <c r="I76" s="18" t="s">
        <v>349</v>
      </c>
      <c r="J76" s="20" t="s">
        <v>349</v>
      </c>
      <c r="K76" s="18" t="n">
        <v>0.68396458</v>
      </c>
      <c r="L76" s="20" t="n">
        <v>0.34059621</v>
      </c>
      <c r="M76" s="18" t="n">
        <v>0</v>
      </c>
      <c r="N76" s="20" t="n">
        <v>0</v>
      </c>
      <c r="O76" s="18" t="n">
        <v>0</v>
      </c>
      <c r="P76" s="20" t="n">
        <v>0</v>
      </c>
      <c r="Q76" s="18" t="n">
        <v>0.49717185</v>
      </c>
      <c r="R76" s="20" t="n">
        <v>0.32636041</v>
      </c>
    </row>
    <row r="77" spans="1:18">
      <c r="A77" s="15" t="s">
        <v>419</v>
      </c>
      <c r="B77" s="17" t="n">
        <v>3154</v>
      </c>
      <c r="C77" s="18">
        <f>(2778.0/B77*100)</f>
        <v/>
      </c>
      <c r="D77" s="19" t="n">
        <v>376</v>
      </c>
      <c r="E77" s="18" t="n">
        <v>56.82144122</v>
      </c>
      <c r="F77" s="20" t="n">
        <v>2.683326</v>
      </c>
      <c r="G77" s="18" t="n">
        <v>41.33895323</v>
      </c>
      <c r="H77" s="20" t="n">
        <v>2.70307641</v>
      </c>
      <c r="I77" s="18" t="s">
        <v>349</v>
      </c>
      <c r="J77" s="20" t="s">
        <v>349</v>
      </c>
      <c r="K77" s="18" t="n">
        <v>1.28390421</v>
      </c>
      <c r="L77" s="20" t="n">
        <v>0.6141705200000001</v>
      </c>
      <c r="M77" s="18" t="n">
        <v>0</v>
      </c>
      <c r="N77" s="20" t="n">
        <v>0</v>
      </c>
      <c r="O77" s="18" t="n">
        <v>0</v>
      </c>
      <c r="P77" s="20" t="n">
        <v>0</v>
      </c>
      <c r="Q77" s="18" t="n">
        <v>0.55570134</v>
      </c>
      <c r="R77" s="20" t="n">
        <v>0.38312047</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(4127.0/B81*100)</f>
        <v/>
      </c>
      <c r="D81" s="19" t="n">
        <v>571</v>
      </c>
      <c r="E81" s="18" t="n">
        <v>41.4647845</v>
      </c>
      <c r="F81" s="20" t="n">
        <v>2.14287033</v>
      </c>
      <c r="G81" s="18" t="n">
        <v>58.25306659</v>
      </c>
      <c r="H81" s="20" t="n">
        <v>2.12420976</v>
      </c>
      <c r="I81" s="18" t="s">
        <v>349</v>
      </c>
      <c r="J81" s="20" t="s">
        <v>349</v>
      </c>
      <c r="K81" s="18" t="n">
        <v>0.28214891</v>
      </c>
      <c r="L81" s="20" t="n">
        <v>0.27930625</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(6315.0/B7*100)</f>
        <v/>
      </c>
      <c r="D7" s="19" t="n">
        <v>848</v>
      </c>
      <c r="E7" s="18" t="n">
        <v>32.4676225</v>
      </c>
      <c r="F7" s="20" t="n">
        <v>2.04670635</v>
      </c>
      <c r="G7" s="18" t="n">
        <v>62.18161344</v>
      </c>
      <c r="H7" s="20" t="n">
        <v>2.02961104</v>
      </c>
      <c r="I7" s="18" t="s">
        <v>349</v>
      </c>
      <c r="J7" s="20" t="s">
        <v>349</v>
      </c>
      <c r="K7" s="18" t="n">
        <v>0.58320096</v>
      </c>
      <c r="L7" s="20" t="n">
        <v>0.29384528</v>
      </c>
      <c r="M7" s="18" t="n">
        <v>0</v>
      </c>
      <c r="N7" s="20" t="n">
        <v>0</v>
      </c>
      <c r="O7" s="18" t="n">
        <v>0</v>
      </c>
      <c r="P7" s="20" t="n">
        <v>0</v>
      </c>
      <c r="Q7" s="18" t="n">
        <v>4.7675631</v>
      </c>
      <c r="R7" s="20" t="n">
        <v>0.73068934</v>
      </c>
    </row>
    <row r="8" spans="1:18">
      <c r="A8" s="15" t="s">
        <v>350</v>
      </c>
      <c r="B8" s="17" t="n">
        <v>3443</v>
      </c>
      <c r="C8" s="18">
        <f>(3034.0/B8*100)</f>
        <v/>
      </c>
      <c r="D8" s="19" t="n">
        <v>409</v>
      </c>
      <c r="E8" s="18" t="n">
        <v>24.41658957</v>
      </c>
      <c r="F8" s="20" t="n">
        <v>2.28318123</v>
      </c>
      <c r="G8" s="18" t="n">
        <v>65.48821543</v>
      </c>
      <c r="H8" s="20" t="n">
        <v>2.33827235</v>
      </c>
      <c r="I8" s="18" t="s">
        <v>349</v>
      </c>
      <c r="J8" s="20" t="s">
        <v>349</v>
      </c>
      <c r="K8" s="18" t="n">
        <v>0</v>
      </c>
      <c r="L8" s="20" t="n">
        <v>0</v>
      </c>
      <c r="M8" s="18" t="n">
        <v>0</v>
      </c>
      <c r="N8" s="20" t="n">
        <v>0</v>
      </c>
      <c r="O8" s="18" t="n">
        <v>0</v>
      </c>
      <c r="P8" s="20" t="n">
        <v>0</v>
      </c>
      <c r="Q8" s="18" t="n">
        <v>10.095195</v>
      </c>
      <c r="R8" s="20" t="n">
        <v>1.62242158</v>
      </c>
    </row>
    <row r="9" spans="1:18">
      <c r="A9" s="15" t="s">
        <v>351</v>
      </c>
      <c r="B9" s="17" t="n">
        <v>4752</v>
      </c>
      <c r="C9" s="18">
        <f>(4183.0/B9*100)</f>
        <v/>
      </c>
      <c r="D9" s="19" t="n">
        <v>569</v>
      </c>
      <c r="E9" s="18" t="n">
        <v>27.60722325</v>
      </c>
      <c r="F9" s="20" t="n">
        <v>1.85180981</v>
      </c>
      <c r="G9" s="18" t="n">
        <v>64.61491463999999</v>
      </c>
      <c r="H9" s="20" t="n">
        <v>1.84825804</v>
      </c>
      <c r="I9" s="18" t="s">
        <v>349</v>
      </c>
      <c r="J9" s="20" t="s">
        <v>349</v>
      </c>
      <c r="K9" s="18" t="n">
        <v>0.42522623</v>
      </c>
      <c r="L9" s="20" t="n">
        <v>0.33347649</v>
      </c>
      <c r="M9" s="18" t="n">
        <v>0.13216536</v>
      </c>
      <c r="N9" s="20" t="n">
        <v>0.13429185</v>
      </c>
      <c r="O9" s="18" t="n">
        <v>0</v>
      </c>
      <c r="P9" s="20" t="n">
        <v>0</v>
      </c>
      <c r="Q9" s="18" t="n">
        <v>7.22047052</v>
      </c>
      <c r="R9" s="20" t="n">
        <v>1.20559651</v>
      </c>
    </row>
    <row r="10" spans="1:18">
      <c r="A10" s="15" t="s">
        <v>352</v>
      </c>
      <c r="B10" s="17" t="n">
        <v>10022</v>
      </c>
      <c r="C10" s="18">
        <f>(8785.0/B10*100)</f>
        <v/>
      </c>
      <c r="D10" s="19" t="n">
        <v>1237</v>
      </c>
      <c r="E10" s="18" t="n">
        <v>26.05802397</v>
      </c>
      <c r="F10" s="20" t="n">
        <v>1.49971257</v>
      </c>
      <c r="G10" s="18" t="n">
        <v>71.09642492</v>
      </c>
      <c r="H10" s="20" t="n">
        <v>1.64853895</v>
      </c>
      <c r="I10" s="18" t="s">
        <v>349</v>
      </c>
      <c r="J10" s="20" t="s">
        <v>349</v>
      </c>
      <c r="K10" s="18" t="n">
        <v>0.137892</v>
      </c>
      <c r="L10" s="20" t="n">
        <v>0.06711923</v>
      </c>
      <c r="M10" s="18" t="n">
        <v>0.47683923</v>
      </c>
      <c r="N10" s="20" t="n">
        <v>0.32854977</v>
      </c>
      <c r="O10" s="18" t="n">
        <v>0</v>
      </c>
      <c r="P10" s="20" t="n">
        <v>0</v>
      </c>
      <c r="Q10" s="18" t="n">
        <v>2.23081989</v>
      </c>
      <c r="R10" s="20" t="n">
        <v>0.53641801</v>
      </c>
    </row>
    <row r="11" spans="1:18">
      <c r="A11" s="15" t="s">
        <v>353</v>
      </c>
      <c r="B11" s="17" t="n">
        <v>3500</v>
      </c>
      <c r="C11" s="18">
        <f>(3082.0/B11*100)</f>
        <v/>
      </c>
      <c r="D11" s="19" t="n">
        <v>418</v>
      </c>
      <c r="E11" s="18" t="n">
        <v>36.52691653</v>
      </c>
      <c r="F11" s="20" t="n">
        <v>2.39300778</v>
      </c>
      <c r="G11" s="18" t="n">
        <v>46.24442572</v>
      </c>
      <c r="H11" s="20" t="n">
        <v>2.59249259</v>
      </c>
      <c r="I11" s="18" t="s">
        <v>349</v>
      </c>
      <c r="J11" s="20" t="s">
        <v>349</v>
      </c>
      <c r="K11" s="18" t="n">
        <v>1.00086728</v>
      </c>
      <c r="L11" s="20" t="n">
        <v>0.51213622</v>
      </c>
      <c r="M11" s="18" t="n">
        <v>0</v>
      </c>
      <c r="N11" s="20" t="n">
        <v>0</v>
      </c>
      <c r="O11" s="18" t="n">
        <v>0</v>
      </c>
      <c r="P11" s="20" t="n">
        <v>0</v>
      </c>
      <c r="Q11" s="18" t="n">
        <v>16.22779047</v>
      </c>
      <c r="R11" s="20" t="n">
        <v>2.1562999</v>
      </c>
    </row>
    <row r="12" spans="1:18">
      <c r="A12" s="15" t="s">
        <v>354</v>
      </c>
      <c r="B12" s="17" t="n">
        <v>3422</v>
      </c>
      <c r="C12" s="18">
        <f>(2984.0/B12*100)</f>
        <v/>
      </c>
      <c r="D12" s="19" t="n">
        <v>438</v>
      </c>
      <c r="E12" s="18" t="n">
        <v>30.4913335</v>
      </c>
      <c r="F12" s="20" t="n">
        <v>2.89386752</v>
      </c>
      <c r="G12" s="18" t="n">
        <v>58.48834572</v>
      </c>
      <c r="H12" s="20" t="n">
        <v>3.09555369</v>
      </c>
      <c r="I12" s="18" t="s">
        <v>349</v>
      </c>
      <c r="J12" s="20" t="s">
        <v>349</v>
      </c>
      <c r="K12" s="18" t="n">
        <v>0.09433705000000001</v>
      </c>
      <c r="L12" s="20" t="n">
        <v>0.09329667</v>
      </c>
      <c r="M12" s="18" t="n">
        <v>0</v>
      </c>
      <c r="N12" s="20" t="n">
        <v>0</v>
      </c>
      <c r="O12" s="18" t="n">
        <v>0</v>
      </c>
      <c r="P12" s="20" t="n">
        <v>0</v>
      </c>
      <c r="Q12" s="18" t="n">
        <v>10.92598373</v>
      </c>
      <c r="R12" s="20" t="n">
        <v>1.67483279</v>
      </c>
    </row>
    <row r="13" spans="1:18">
      <c r="A13" s="15" t="s">
        <v>355</v>
      </c>
      <c r="B13" s="17" t="n">
        <v>3602</v>
      </c>
      <c r="C13" s="18">
        <f>(3162.0/B13*100)</f>
        <v/>
      </c>
      <c r="D13" s="19" t="n">
        <v>440</v>
      </c>
      <c r="E13" s="18" t="n">
        <v>24.89528957</v>
      </c>
      <c r="F13" s="20" t="n">
        <v>2.09147213</v>
      </c>
      <c r="G13" s="18" t="n">
        <v>70.32074486</v>
      </c>
      <c r="H13" s="20" t="n">
        <v>2.40651016</v>
      </c>
      <c r="I13" s="18" t="s">
        <v>349</v>
      </c>
      <c r="J13" s="20" t="s">
        <v>349</v>
      </c>
      <c r="K13" s="18" t="n">
        <v>1.00486845</v>
      </c>
      <c r="L13" s="20" t="n">
        <v>0.5745833299999999</v>
      </c>
      <c r="M13" s="18" t="n">
        <v>0</v>
      </c>
      <c r="N13" s="20" t="n">
        <v>0</v>
      </c>
      <c r="O13" s="18" t="n">
        <v>0</v>
      </c>
      <c r="P13" s="20" t="n">
        <v>0</v>
      </c>
      <c r="Q13" s="18" t="n">
        <v>3.77909712</v>
      </c>
      <c r="R13" s="20" t="n">
        <v>1.04718298</v>
      </c>
    </row>
    <row r="14" spans="1:18">
      <c r="A14" s="15" t="s">
        <v>356</v>
      </c>
      <c r="B14" s="17" t="n">
        <v>2788</v>
      </c>
      <c r="C14" s="18">
        <f>(2428.0/B14*100)</f>
        <v/>
      </c>
      <c r="D14" s="19" t="n">
        <v>360</v>
      </c>
      <c r="E14" s="18" t="n">
        <v>21.62925468</v>
      </c>
      <c r="F14" s="20" t="n">
        <v>2.31078817</v>
      </c>
      <c r="G14" s="18" t="n">
        <v>75.10163237</v>
      </c>
      <c r="H14" s="20" t="n">
        <v>2.64380498</v>
      </c>
      <c r="I14" s="18" t="s">
        <v>349</v>
      </c>
      <c r="J14" s="20" t="s">
        <v>349</v>
      </c>
      <c r="K14" s="18" t="n">
        <v>0.21357754</v>
      </c>
      <c r="L14" s="20" t="n">
        <v>0.20634239</v>
      </c>
      <c r="M14" s="18" t="n">
        <v>0</v>
      </c>
      <c r="N14" s="20" t="n">
        <v>0</v>
      </c>
      <c r="O14" s="18" t="n">
        <v>0</v>
      </c>
      <c r="P14" s="20" t="n">
        <v>0</v>
      </c>
      <c r="Q14" s="18" t="n">
        <v>3.0555354</v>
      </c>
      <c r="R14" s="20" t="n">
        <v>1.23981727</v>
      </c>
    </row>
    <row r="15" spans="1:18">
      <c r="A15" s="15" t="s">
        <v>357</v>
      </c>
      <c r="B15" s="17" t="n">
        <v>2863</v>
      </c>
      <c r="C15" s="18">
        <f>(2515.0/B15*100)</f>
        <v/>
      </c>
      <c r="D15" s="19" t="n">
        <v>348</v>
      </c>
      <c r="E15" s="18" t="n">
        <v>23.14453511</v>
      </c>
      <c r="F15" s="20" t="n">
        <v>2.38290334</v>
      </c>
      <c r="G15" s="18" t="n">
        <v>72.46812663999999</v>
      </c>
      <c r="H15" s="20" t="n">
        <v>2.45865269</v>
      </c>
      <c r="I15" s="18" t="s">
        <v>349</v>
      </c>
      <c r="J15" s="20" t="s">
        <v>349</v>
      </c>
      <c r="K15" s="18" t="n">
        <v>0</v>
      </c>
      <c r="L15" s="20" t="n">
        <v>0</v>
      </c>
      <c r="M15" s="18" t="n">
        <v>0</v>
      </c>
      <c r="N15" s="20" t="n">
        <v>0</v>
      </c>
      <c r="O15" s="18" t="n">
        <v>0</v>
      </c>
      <c r="P15" s="20" t="n">
        <v>0</v>
      </c>
      <c r="Q15" s="18" t="n">
        <v>4.38733825</v>
      </c>
      <c r="R15" s="20" t="n">
        <v>1.04119996</v>
      </c>
    </row>
    <row r="16" spans="1:18">
      <c r="A16" s="15" t="s">
        <v>358</v>
      </c>
      <c r="B16" s="17" t="n">
        <v>3111</v>
      </c>
      <c r="C16" s="18">
        <f>(2745.0/B16*100)</f>
        <v/>
      </c>
      <c r="D16" s="19" t="n">
        <v>366</v>
      </c>
      <c r="E16" s="18" t="n">
        <v>32.1935074</v>
      </c>
      <c r="F16" s="20" t="n">
        <v>2.3413833</v>
      </c>
      <c r="G16" s="18" t="n">
        <v>58.59704992</v>
      </c>
      <c r="H16" s="20" t="n">
        <v>2.43618521</v>
      </c>
      <c r="I16" s="18" t="s">
        <v>349</v>
      </c>
      <c r="J16" s="20" t="s">
        <v>349</v>
      </c>
      <c r="K16" s="18" t="n">
        <v>0.87761067</v>
      </c>
      <c r="L16" s="20" t="n">
        <v>0.47802258</v>
      </c>
      <c r="M16" s="18" t="n">
        <v>0</v>
      </c>
      <c r="N16" s="20" t="n">
        <v>0</v>
      </c>
      <c r="O16" s="18" t="n">
        <v>0</v>
      </c>
      <c r="P16" s="20" t="n">
        <v>0</v>
      </c>
      <c r="Q16" s="18" t="n">
        <v>8.331832009999999</v>
      </c>
      <c r="R16" s="20" t="n">
        <v>1.76872835</v>
      </c>
    </row>
    <row r="17" spans="1:18">
      <c r="A17" s="15" t="s">
        <v>359</v>
      </c>
      <c r="B17" s="17" t="n">
        <v>3197</v>
      </c>
      <c r="C17" s="18">
        <f>(2821.0/B17*100)</f>
        <v/>
      </c>
      <c r="D17" s="19" t="n">
        <v>376</v>
      </c>
      <c r="E17" s="18" t="n">
        <v>28.59887651</v>
      </c>
      <c r="F17" s="20" t="n">
        <v>2.26364409</v>
      </c>
      <c r="G17" s="18" t="n">
        <v>62.60873396</v>
      </c>
      <c r="H17" s="20" t="n">
        <v>2.53509096</v>
      </c>
      <c r="I17" s="18" t="s">
        <v>349</v>
      </c>
      <c r="J17" s="20" t="s">
        <v>349</v>
      </c>
      <c r="K17" s="18" t="n">
        <v>0</v>
      </c>
      <c r="L17" s="20" t="n">
        <v>0</v>
      </c>
      <c r="M17" s="18" t="n">
        <v>0</v>
      </c>
      <c r="N17" s="20" t="n">
        <v>0</v>
      </c>
      <c r="O17" s="18" t="n">
        <v>0</v>
      </c>
      <c r="P17" s="20" t="n">
        <v>0</v>
      </c>
      <c r="Q17" s="18" t="n">
        <v>8.792389529999999</v>
      </c>
      <c r="R17" s="20" t="n">
        <v>1.33377392</v>
      </c>
    </row>
    <row r="18" spans="1:18">
      <c r="A18" s="15" t="s">
        <v>360</v>
      </c>
      <c r="B18" s="17" t="n">
        <v>2706</v>
      </c>
      <c r="C18" s="18">
        <f>(2367.0/B18*100)</f>
        <v/>
      </c>
      <c r="D18" s="19" t="n">
        <v>339</v>
      </c>
      <c r="E18" s="18" t="n">
        <v>37.51119096</v>
      </c>
      <c r="F18" s="20" t="n">
        <v>2.58306871</v>
      </c>
      <c r="G18" s="18" t="n">
        <v>49.5533307</v>
      </c>
      <c r="H18" s="20" t="n">
        <v>2.42461694</v>
      </c>
      <c r="I18" s="18" t="s">
        <v>349</v>
      </c>
      <c r="J18" s="20" t="s">
        <v>349</v>
      </c>
      <c r="K18" s="18" t="n">
        <v>0.35311819</v>
      </c>
      <c r="L18" s="20" t="n">
        <v>0.292031</v>
      </c>
      <c r="M18" s="18" t="n">
        <v>0</v>
      </c>
      <c r="N18" s="20" t="n">
        <v>0</v>
      </c>
      <c r="O18" s="18" t="n">
        <v>0</v>
      </c>
      <c r="P18" s="20" t="n">
        <v>0</v>
      </c>
      <c r="Q18" s="18" t="n">
        <v>12.58236015</v>
      </c>
      <c r="R18" s="20" t="n">
        <v>1.92586743</v>
      </c>
    </row>
    <row r="19" spans="1:18">
      <c r="A19" s="15" t="s">
        <v>361</v>
      </c>
      <c r="B19" s="17" t="n">
        <v>2850</v>
      </c>
      <c r="C19" s="18">
        <f>(2493.0/B19*100)</f>
        <v/>
      </c>
      <c r="D19" s="19" t="n">
        <v>357</v>
      </c>
      <c r="E19" s="18" t="n">
        <v>31.03749912</v>
      </c>
      <c r="F19" s="20" t="n">
        <v>2.50762861</v>
      </c>
      <c r="G19" s="18" t="n">
        <v>60.71250425</v>
      </c>
      <c r="H19" s="20" t="n">
        <v>2.98627198</v>
      </c>
      <c r="I19" s="18" t="s">
        <v>349</v>
      </c>
      <c r="J19" s="20" t="s">
        <v>349</v>
      </c>
      <c r="K19" s="18" t="n">
        <v>0.29479445</v>
      </c>
      <c r="L19" s="20" t="n">
        <v>0.29423152</v>
      </c>
      <c r="M19" s="18" t="n">
        <v>0</v>
      </c>
      <c r="N19" s="20" t="n">
        <v>0</v>
      </c>
      <c r="O19" s="18" t="n">
        <v>0</v>
      </c>
      <c r="P19" s="20" t="n">
        <v>0</v>
      </c>
      <c r="Q19" s="18" t="n">
        <v>7.95520218</v>
      </c>
      <c r="R19" s="20" t="n">
        <v>2.10431084</v>
      </c>
    </row>
    <row r="20" spans="1:18">
      <c r="A20" s="15" t="s">
        <v>362</v>
      </c>
      <c r="B20" s="17" t="n">
        <v>1741</v>
      </c>
      <c r="C20" s="18">
        <f>(1536.0/B20*100)</f>
        <v/>
      </c>
      <c r="D20" s="19" t="n">
        <v>205</v>
      </c>
      <c r="E20" s="18" t="n">
        <v>37.12434818</v>
      </c>
      <c r="F20" s="20" t="n">
        <v>3.25542257</v>
      </c>
      <c r="G20" s="18" t="n">
        <v>53.82900553</v>
      </c>
      <c r="H20" s="20" t="n">
        <v>3.30904174</v>
      </c>
      <c r="I20" s="18" t="s">
        <v>349</v>
      </c>
      <c r="J20" s="20" t="s">
        <v>349</v>
      </c>
      <c r="K20" s="18" t="n">
        <v>0.94457937</v>
      </c>
      <c r="L20" s="20" t="n">
        <v>0.67327989</v>
      </c>
      <c r="M20" s="18" t="n">
        <v>0.74882563</v>
      </c>
      <c r="N20" s="20" t="n">
        <v>0.72604382</v>
      </c>
      <c r="O20" s="18" t="n">
        <v>0</v>
      </c>
      <c r="P20" s="20" t="n">
        <v>0</v>
      </c>
      <c r="Q20" s="18" t="n">
        <v>7.35324129</v>
      </c>
      <c r="R20" s="20" t="n">
        <v>2.21746179</v>
      </c>
    </row>
    <row r="21" spans="1:18">
      <c r="A21" s="15" t="s">
        <v>363</v>
      </c>
      <c r="B21" s="17" t="n">
        <v>2833</v>
      </c>
      <c r="C21" s="18">
        <f>(2360.0/B21*100)</f>
        <v/>
      </c>
      <c r="D21" s="19" t="n">
        <v>473</v>
      </c>
      <c r="E21" s="18" t="n">
        <v>31.74794652</v>
      </c>
      <c r="F21" s="20" t="n">
        <v>2.09191728</v>
      </c>
      <c r="G21" s="18" t="n">
        <v>64.75740722</v>
      </c>
      <c r="H21" s="20" t="n">
        <v>2.34396212</v>
      </c>
      <c r="I21" s="18" t="s">
        <v>349</v>
      </c>
      <c r="J21" s="20" t="s">
        <v>349</v>
      </c>
      <c r="K21" s="18" t="n">
        <v>0</v>
      </c>
      <c r="L21" s="20" t="n">
        <v>0</v>
      </c>
      <c r="M21" s="18" t="n">
        <v>0</v>
      </c>
      <c r="N21" s="20" t="n">
        <v>0</v>
      </c>
      <c r="O21" s="18" t="n">
        <v>0</v>
      </c>
      <c r="P21" s="20" t="n">
        <v>0</v>
      </c>
      <c r="Q21" s="18" t="n">
        <v>3.49464626</v>
      </c>
      <c r="R21" s="20" t="n">
        <v>0.91739107</v>
      </c>
    </row>
    <row r="22" spans="1:18">
      <c r="A22" s="15" t="s">
        <v>364</v>
      </c>
      <c r="B22" s="17" t="n">
        <v>3667</v>
      </c>
      <c r="C22" s="18">
        <f>(3206.0/B22*100)</f>
        <v/>
      </c>
      <c r="D22" s="19" t="n">
        <v>461</v>
      </c>
      <c r="E22" s="18" t="n">
        <v>35.6345962</v>
      </c>
      <c r="F22" s="20" t="n">
        <v>2.17838005</v>
      </c>
      <c r="G22" s="18" t="n">
        <v>54.47511736</v>
      </c>
      <c r="H22" s="20" t="n">
        <v>2.33963052</v>
      </c>
      <c r="I22" s="18" t="s">
        <v>349</v>
      </c>
      <c r="J22" s="20" t="s">
        <v>349</v>
      </c>
      <c r="K22" s="18" t="n">
        <v>0.7745111</v>
      </c>
      <c r="L22" s="20" t="n">
        <v>0.38733089</v>
      </c>
      <c r="M22" s="18" t="n">
        <v>0</v>
      </c>
      <c r="N22" s="20" t="n">
        <v>0</v>
      </c>
      <c r="O22" s="18" t="n">
        <v>0</v>
      </c>
      <c r="P22" s="20" t="n">
        <v>0</v>
      </c>
      <c r="Q22" s="18" t="n">
        <v>9.115775340000001</v>
      </c>
      <c r="R22" s="20" t="n">
        <v>1.151525</v>
      </c>
    </row>
    <row r="23" spans="1:18">
      <c r="A23" s="15" t="s">
        <v>365</v>
      </c>
      <c r="B23" s="17" t="n">
        <v>5792</v>
      </c>
      <c r="C23" s="18">
        <f>(5098.0/B23*100)</f>
        <v/>
      </c>
      <c r="D23" s="19" t="n">
        <v>694</v>
      </c>
      <c r="E23" s="18" t="n">
        <v>29.16545476</v>
      </c>
      <c r="F23" s="20" t="n">
        <v>3.358845</v>
      </c>
      <c r="G23" s="18" t="n">
        <v>54.12800944</v>
      </c>
      <c r="H23" s="20" t="n">
        <v>3.40306407</v>
      </c>
      <c r="I23" s="18" t="s">
        <v>349</v>
      </c>
      <c r="J23" s="20" t="s">
        <v>349</v>
      </c>
      <c r="K23" s="18" t="n">
        <v>0.42921353</v>
      </c>
      <c r="L23" s="20" t="n">
        <v>0.30318167</v>
      </c>
      <c r="M23" s="18" t="n">
        <v>0.43961395</v>
      </c>
      <c r="N23" s="20" t="n">
        <v>0.29810325</v>
      </c>
      <c r="O23" s="18" t="n">
        <v>0</v>
      </c>
      <c r="P23" s="20" t="n">
        <v>0</v>
      </c>
      <c r="Q23" s="18" t="n">
        <v>15.83770832</v>
      </c>
      <c r="R23" s="20" t="n">
        <v>2.10869729</v>
      </c>
    </row>
    <row r="24" spans="1:18">
      <c r="A24" s="15" t="s">
        <v>366</v>
      </c>
      <c r="B24" s="17" t="n">
        <v>3309</v>
      </c>
      <c r="C24" s="18">
        <f>(2904.0/B24*100)</f>
        <v/>
      </c>
      <c r="D24" s="19" t="n">
        <v>405</v>
      </c>
      <c r="E24" s="18" t="n">
        <v>21.57644675</v>
      </c>
      <c r="F24" s="20" t="n">
        <v>2.19592485</v>
      </c>
      <c r="G24" s="18" t="n">
        <v>73.30271461</v>
      </c>
      <c r="H24" s="20" t="n">
        <v>2.14422938</v>
      </c>
      <c r="I24" s="18" t="s">
        <v>349</v>
      </c>
      <c r="J24" s="20" t="s">
        <v>349</v>
      </c>
      <c r="K24" s="18" t="n">
        <v>0</v>
      </c>
      <c r="L24" s="20" t="n">
        <v>0</v>
      </c>
      <c r="M24" s="18" t="n">
        <v>0</v>
      </c>
      <c r="N24" s="20" t="n">
        <v>0</v>
      </c>
      <c r="O24" s="18" t="n">
        <v>0</v>
      </c>
      <c r="P24" s="20" t="n">
        <v>0</v>
      </c>
      <c r="Q24" s="18" t="n">
        <v>5.12083863</v>
      </c>
      <c r="R24" s="20" t="n">
        <v>1.02537802</v>
      </c>
    </row>
    <row r="25" spans="1:18">
      <c r="A25" s="15" t="s">
        <v>367</v>
      </c>
      <c r="B25" s="17" t="n">
        <v>2669</v>
      </c>
      <c r="C25" s="18">
        <f>(2330.0/B25*100)</f>
        <v/>
      </c>
      <c r="D25" s="19" t="n">
        <v>339</v>
      </c>
      <c r="E25" s="18" t="n">
        <v>27.17410028</v>
      </c>
      <c r="F25" s="20" t="n">
        <v>2.17474203</v>
      </c>
      <c r="G25" s="18" t="n">
        <v>65.73311959999999</v>
      </c>
      <c r="H25" s="20" t="n">
        <v>2.60606261</v>
      </c>
      <c r="I25" s="18" t="s">
        <v>349</v>
      </c>
      <c r="J25" s="20" t="s">
        <v>349</v>
      </c>
      <c r="K25" s="18" t="n">
        <v>0.30639674</v>
      </c>
      <c r="L25" s="20" t="n">
        <v>0.30463023</v>
      </c>
      <c r="M25" s="18" t="n">
        <v>0</v>
      </c>
      <c r="N25" s="20" t="n">
        <v>0</v>
      </c>
      <c r="O25" s="18" t="n">
        <v>0</v>
      </c>
      <c r="P25" s="20" t="n">
        <v>0</v>
      </c>
      <c r="Q25" s="18" t="n">
        <v>6.78638338</v>
      </c>
      <c r="R25" s="20" t="n">
        <v>1.59391344</v>
      </c>
    </row>
    <row r="26" spans="1:18">
      <c r="A26" s="15" t="s">
        <v>368</v>
      </c>
      <c r="B26" s="17" t="n">
        <v>2419</v>
      </c>
      <c r="C26" s="18">
        <f>(2131.0/B26*100)</f>
        <v/>
      </c>
      <c r="D26" s="19" t="n">
        <v>288</v>
      </c>
      <c r="E26" s="18" t="n">
        <v>71.52358929</v>
      </c>
      <c r="F26" s="20" t="n">
        <v>2.86763623</v>
      </c>
      <c r="G26" s="18" t="n">
        <v>22.28758184</v>
      </c>
      <c r="H26" s="20" t="n">
        <v>2.60519871</v>
      </c>
      <c r="I26" s="18" t="s">
        <v>349</v>
      </c>
      <c r="J26" s="20" t="s">
        <v>349</v>
      </c>
      <c r="K26" s="18" t="n">
        <v>0.26498595</v>
      </c>
      <c r="L26" s="20" t="n">
        <v>0.27194411</v>
      </c>
      <c r="M26" s="18" t="n">
        <v>0</v>
      </c>
      <c r="N26" s="20" t="n">
        <v>0</v>
      </c>
      <c r="O26" s="18" t="n">
        <v>0</v>
      </c>
      <c r="P26" s="20" t="n">
        <v>0</v>
      </c>
      <c r="Q26" s="18" t="n">
        <v>5.92384292</v>
      </c>
      <c r="R26" s="20" t="n">
        <v>1.87636765</v>
      </c>
    </row>
    <row r="27" spans="1:18">
      <c r="A27" s="15" t="s">
        <v>369</v>
      </c>
      <c r="B27" s="17" t="n">
        <v>2683</v>
      </c>
      <c r="C27" s="18">
        <f>(2359.0/B27*100)</f>
        <v/>
      </c>
      <c r="D27" s="19" t="n">
        <v>324</v>
      </c>
      <c r="E27" s="18" t="n">
        <v>27.73748901</v>
      </c>
      <c r="F27" s="20" t="n">
        <v>2.34055952</v>
      </c>
      <c r="G27" s="18" t="n">
        <v>60.04649275</v>
      </c>
      <c r="H27" s="20" t="n">
        <v>2.55759686</v>
      </c>
      <c r="I27" s="18" t="s">
        <v>349</v>
      </c>
      <c r="J27" s="20" t="s">
        <v>349</v>
      </c>
      <c r="K27" s="18" t="n">
        <v>0.30250185</v>
      </c>
      <c r="L27" s="20" t="n">
        <v>0.3056348</v>
      </c>
      <c r="M27" s="18" t="n">
        <v>0</v>
      </c>
      <c r="N27" s="20" t="n">
        <v>0</v>
      </c>
      <c r="O27" s="18" t="n">
        <v>0</v>
      </c>
      <c r="P27" s="20" t="n">
        <v>0</v>
      </c>
      <c r="Q27" s="18" t="n">
        <v>11.91351638</v>
      </c>
      <c r="R27" s="20" t="n">
        <v>1.4348491</v>
      </c>
    </row>
    <row r="28" spans="1:18">
      <c r="A28" s="15" t="s">
        <v>370</v>
      </c>
      <c r="B28" s="17" t="n">
        <v>3803</v>
      </c>
      <c r="C28" s="18">
        <f>(3378.0/B28*100)</f>
        <v/>
      </c>
      <c r="D28" s="19" t="n">
        <v>425</v>
      </c>
      <c r="E28" s="18" t="n">
        <v>46.22363286</v>
      </c>
      <c r="F28" s="20" t="n">
        <v>2.9110488</v>
      </c>
      <c r="G28" s="18" t="n">
        <v>46.33767221</v>
      </c>
      <c r="H28" s="20" t="n">
        <v>2.75951353</v>
      </c>
      <c r="I28" s="18" t="s">
        <v>349</v>
      </c>
      <c r="J28" s="20" t="s">
        <v>349</v>
      </c>
      <c r="K28" s="18" t="n">
        <v>0.69571528</v>
      </c>
      <c r="L28" s="20" t="n">
        <v>0.49583531</v>
      </c>
      <c r="M28" s="18" t="n">
        <v>0</v>
      </c>
      <c r="N28" s="20" t="n">
        <v>0</v>
      </c>
      <c r="O28" s="18" t="n">
        <v>0</v>
      </c>
      <c r="P28" s="20" t="n">
        <v>0</v>
      </c>
      <c r="Q28" s="18" t="n">
        <v>6.74297966</v>
      </c>
      <c r="R28" s="20" t="n">
        <v>1.26844097</v>
      </c>
    </row>
    <row r="29" spans="1:18">
      <c r="A29" s="15" t="s">
        <v>371</v>
      </c>
      <c r="B29" s="17" t="n">
        <v>2700</v>
      </c>
      <c r="C29" s="18">
        <f>(2358.0/B29*100)</f>
        <v/>
      </c>
      <c r="D29" s="19" t="n">
        <v>342</v>
      </c>
      <c r="E29" s="18" t="n">
        <v>29.14941657</v>
      </c>
      <c r="F29" s="20" t="n">
        <v>2.31499386</v>
      </c>
      <c r="G29" s="18" t="n">
        <v>66.72753628</v>
      </c>
      <c r="H29" s="20" t="n">
        <v>2.39820287</v>
      </c>
      <c r="I29" s="18" t="s">
        <v>349</v>
      </c>
      <c r="J29" s="20" t="s">
        <v>349</v>
      </c>
      <c r="K29" s="18" t="n">
        <v>0.38060431</v>
      </c>
      <c r="L29" s="20" t="n">
        <v>0.29319164</v>
      </c>
      <c r="M29" s="18" t="n">
        <v>0</v>
      </c>
      <c r="N29" s="20" t="n">
        <v>0</v>
      </c>
      <c r="O29" s="18" t="n">
        <v>0</v>
      </c>
      <c r="P29" s="20" t="n">
        <v>0</v>
      </c>
      <c r="Q29" s="18" t="n">
        <v>3.74244285</v>
      </c>
      <c r="R29" s="20" t="n">
        <v>1.10706176</v>
      </c>
    </row>
    <row r="30" spans="1:18">
      <c r="A30" s="15" t="s">
        <v>372</v>
      </c>
      <c r="B30" s="17" t="n">
        <v>2257</v>
      </c>
      <c r="C30" s="18">
        <f>(1977.0/B30*100)</f>
        <v/>
      </c>
      <c r="D30" s="19" t="n">
        <v>280</v>
      </c>
      <c r="E30" s="18" t="n">
        <v>27.79095004</v>
      </c>
      <c r="F30" s="20" t="n">
        <v>2.9904767</v>
      </c>
      <c r="G30" s="18" t="n">
        <v>65.01633663</v>
      </c>
      <c r="H30" s="20" t="n">
        <v>2.93300606</v>
      </c>
      <c r="I30" s="18" t="s">
        <v>349</v>
      </c>
      <c r="J30" s="20" t="s">
        <v>349</v>
      </c>
      <c r="K30" s="18" t="n">
        <v>0</v>
      </c>
      <c r="L30" s="20" t="n">
        <v>0</v>
      </c>
      <c r="M30" s="18" t="n">
        <v>0</v>
      </c>
      <c r="N30" s="20" t="n">
        <v>0</v>
      </c>
      <c r="O30" s="18" t="n">
        <v>0</v>
      </c>
      <c r="P30" s="20" t="n">
        <v>0</v>
      </c>
      <c r="Q30" s="18" t="n">
        <v>7.19271333</v>
      </c>
      <c r="R30" s="20" t="n">
        <v>1.37494885</v>
      </c>
    </row>
    <row r="31" spans="1:18">
      <c r="A31" s="15" t="s">
        <v>373</v>
      </c>
      <c r="B31" s="17" t="n">
        <v>2706</v>
      </c>
      <c r="C31" s="18">
        <f>(2389.0/B31*100)</f>
        <v/>
      </c>
      <c r="D31" s="19" t="n">
        <v>317</v>
      </c>
      <c r="E31" s="18" t="n">
        <v>29.78597306</v>
      </c>
      <c r="F31" s="20" t="n">
        <v>2.45372761</v>
      </c>
      <c r="G31" s="18" t="n">
        <v>62.8784981</v>
      </c>
      <c r="H31" s="20" t="n">
        <v>2.46696621</v>
      </c>
      <c r="I31" s="18" t="s">
        <v>349</v>
      </c>
      <c r="J31" s="20" t="s">
        <v>349</v>
      </c>
      <c r="K31" s="18" t="n">
        <v>0.63135021</v>
      </c>
      <c r="L31" s="20" t="n">
        <v>0.43783214</v>
      </c>
      <c r="M31" s="18" t="n">
        <v>0.34152562</v>
      </c>
      <c r="N31" s="20" t="n">
        <v>0.34133154</v>
      </c>
      <c r="O31" s="18" t="n">
        <v>0</v>
      </c>
      <c r="P31" s="20" t="n">
        <v>0</v>
      </c>
      <c r="Q31" s="18" t="n">
        <v>6.36265301</v>
      </c>
      <c r="R31" s="20" t="n">
        <v>1.4449839</v>
      </c>
    </row>
    <row r="32" spans="1:18">
      <c r="A32" s="15" t="s">
        <v>374</v>
      </c>
      <c r="B32" s="17" t="n">
        <v>2209</v>
      </c>
      <c r="C32" s="18">
        <f>(1840.0/B32*100)</f>
        <v/>
      </c>
      <c r="D32" s="19" t="n">
        <v>369</v>
      </c>
      <c r="E32" s="18" t="n">
        <v>24.36916294</v>
      </c>
      <c r="F32" s="20" t="n">
        <v>2.36323657</v>
      </c>
      <c r="G32" s="18" t="n">
        <v>67.87698709</v>
      </c>
      <c r="H32" s="20" t="n">
        <v>2.61041142</v>
      </c>
      <c r="I32" s="18" t="s">
        <v>349</v>
      </c>
      <c r="J32" s="20" t="s">
        <v>349</v>
      </c>
      <c r="K32" s="18" t="n">
        <v>0.25736339</v>
      </c>
      <c r="L32" s="20" t="n">
        <v>0.26961788</v>
      </c>
      <c r="M32" s="18" t="n">
        <v>1.14548735</v>
      </c>
      <c r="N32" s="20" t="n">
        <v>1.21331556</v>
      </c>
      <c r="O32" s="18" t="n">
        <v>0</v>
      </c>
      <c r="P32" s="20" t="n">
        <v>0</v>
      </c>
      <c r="Q32" s="18" t="n">
        <v>6.35099923</v>
      </c>
      <c r="R32" s="20" t="n">
        <v>1.29714027</v>
      </c>
    </row>
    <row r="33" spans="1:18">
      <c r="A33" s="15" t="s">
        <v>375</v>
      </c>
      <c r="B33" s="17" t="n">
        <v>3651</v>
      </c>
      <c r="C33" s="18">
        <f>(3216.0/B33*100)</f>
        <v/>
      </c>
      <c r="D33" s="19" t="n">
        <v>435</v>
      </c>
      <c r="E33" s="18" t="n">
        <v>31.04602161</v>
      </c>
      <c r="F33" s="20" t="n">
        <v>2.62631405</v>
      </c>
      <c r="G33" s="18" t="n">
        <v>63.13451317</v>
      </c>
      <c r="H33" s="20" t="n">
        <v>2.39280963</v>
      </c>
      <c r="I33" s="18" t="s">
        <v>349</v>
      </c>
      <c r="J33" s="20" t="s">
        <v>349</v>
      </c>
      <c r="K33" s="18" t="n">
        <v>0</v>
      </c>
      <c r="L33" s="20" t="n">
        <v>0</v>
      </c>
      <c r="M33" s="18" t="n">
        <v>0</v>
      </c>
      <c r="N33" s="20" t="n">
        <v>0</v>
      </c>
      <c r="O33" s="18" t="n">
        <v>0</v>
      </c>
      <c r="P33" s="20" t="n">
        <v>0</v>
      </c>
      <c r="Q33" s="18" t="n">
        <v>5.81946522</v>
      </c>
      <c r="R33" s="20" t="n">
        <v>1.54555913</v>
      </c>
    </row>
    <row r="34" spans="1:18">
      <c r="A34" s="15" t="s">
        <v>376</v>
      </c>
      <c r="B34" s="17" t="n">
        <v>3035</v>
      </c>
      <c r="C34" s="18">
        <f>(2671.0/B34*100)</f>
        <v/>
      </c>
      <c r="D34" s="19" t="n">
        <v>364</v>
      </c>
      <c r="E34" s="18" t="n">
        <v>36.96559813</v>
      </c>
      <c r="F34" s="20" t="n">
        <v>2.72844993</v>
      </c>
      <c r="G34" s="18" t="n">
        <v>52.79936942</v>
      </c>
      <c r="H34" s="20" t="n">
        <v>2.56158586</v>
      </c>
      <c r="I34" s="18" t="s">
        <v>349</v>
      </c>
      <c r="J34" s="20" t="s">
        <v>349</v>
      </c>
      <c r="K34" s="18" t="n">
        <v>0</v>
      </c>
      <c r="L34" s="20" t="n">
        <v>0</v>
      </c>
      <c r="M34" s="18" t="n">
        <v>0</v>
      </c>
      <c r="N34" s="20" t="n">
        <v>0</v>
      </c>
      <c r="O34" s="18" t="n">
        <v>0</v>
      </c>
      <c r="P34" s="20" t="n">
        <v>0</v>
      </c>
      <c r="Q34" s="18" t="n">
        <v>10.23503245</v>
      </c>
      <c r="R34" s="20" t="n">
        <v>1.17727881</v>
      </c>
    </row>
    <row r="35" spans="1:18">
      <c r="A35" s="15" t="s">
        <v>377</v>
      </c>
      <c r="B35" s="17" t="n">
        <v>2901</v>
      </c>
      <c r="C35" s="18">
        <f>(2521.0/B35*100)</f>
        <v/>
      </c>
      <c r="D35" s="19" t="n">
        <v>380</v>
      </c>
      <c r="E35" s="18" t="n">
        <v>29.39396155</v>
      </c>
      <c r="F35" s="20" t="n">
        <v>2.79132045</v>
      </c>
      <c r="G35" s="18" t="n">
        <v>61.42031556</v>
      </c>
      <c r="H35" s="20" t="n">
        <v>3.00637661</v>
      </c>
      <c r="I35" s="18" t="s">
        <v>349</v>
      </c>
      <c r="J35" s="20" t="s">
        <v>349</v>
      </c>
      <c r="K35" s="18" t="n">
        <v>0.09936818</v>
      </c>
      <c r="L35" s="20" t="n">
        <v>0.10021434</v>
      </c>
      <c r="M35" s="18" t="n">
        <v>0</v>
      </c>
      <c r="N35" s="20" t="n">
        <v>0</v>
      </c>
      <c r="O35" s="18" t="n">
        <v>0</v>
      </c>
      <c r="P35" s="20" t="n">
        <v>0</v>
      </c>
      <c r="Q35" s="18" t="n">
        <v>9.08635471</v>
      </c>
      <c r="R35" s="20" t="n">
        <v>1.75081638</v>
      </c>
    </row>
    <row r="36" spans="1:18">
      <c r="A36" s="15" t="s">
        <v>378</v>
      </c>
      <c r="B36" s="17" t="n">
        <v>3404</v>
      </c>
      <c r="C36" s="18">
        <f>(2986.0/B36*100)</f>
        <v/>
      </c>
      <c r="D36" s="19" t="n">
        <v>418</v>
      </c>
      <c r="E36" s="18" t="n">
        <v>29.85067801</v>
      </c>
      <c r="F36" s="20" t="n">
        <v>2.27197902</v>
      </c>
      <c r="G36" s="18" t="n">
        <v>62.72567061</v>
      </c>
      <c r="H36" s="20" t="n">
        <v>2.21591077</v>
      </c>
      <c r="I36" s="18" t="s">
        <v>349</v>
      </c>
      <c r="J36" s="20" t="s">
        <v>349</v>
      </c>
      <c r="K36" s="18" t="n">
        <v>0.3930243</v>
      </c>
      <c r="L36" s="20" t="n">
        <v>0.35079365</v>
      </c>
      <c r="M36" s="18" t="n">
        <v>0</v>
      </c>
      <c r="N36" s="20" t="n">
        <v>0</v>
      </c>
      <c r="O36" s="18" t="n">
        <v>0</v>
      </c>
      <c r="P36" s="20" t="n">
        <v>0</v>
      </c>
      <c r="Q36" s="18" t="n">
        <v>7.03062707</v>
      </c>
      <c r="R36" s="20" t="n">
        <v>1.48598524</v>
      </c>
    </row>
    <row r="37" spans="1:18">
      <c r="A37" s="15" t="s">
        <v>379</v>
      </c>
      <c r="B37" s="17" t="n">
        <v>2731</v>
      </c>
      <c r="C37" s="18">
        <f>(2394.0/B37*100)</f>
        <v/>
      </c>
      <c r="D37" s="19" t="n">
        <v>337</v>
      </c>
      <c r="E37" s="18" t="n">
        <v>24.60169798</v>
      </c>
      <c r="F37" s="20" t="n">
        <v>2.45088841</v>
      </c>
      <c r="G37" s="18" t="n">
        <v>69.42890773000001</v>
      </c>
      <c r="H37" s="20" t="n">
        <v>2.6544384</v>
      </c>
      <c r="I37" s="18" t="s">
        <v>349</v>
      </c>
      <c r="J37" s="20" t="s">
        <v>349</v>
      </c>
      <c r="K37" s="18" t="n">
        <v>0</v>
      </c>
      <c r="L37" s="20" t="n">
        <v>0</v>
      </c>
      <c r="M37" s="18" t="n">
        <v>0.30129578</v>
      </c>
      <c r="N37" s="20" t="n">
        <v>0.21436783</v>
      </c>
      <c r="O37" s="18" t="n">
        <v>0</v>
      </c>
      <c r="P37" s="20" t="n">
        <v>0</v>
      </c>
      <c r="Q37" s="18" t="n">
        <v>5.66809851</v>
      </c>
      <c r="R37" s="20" t="n">
        <v>1.18378108</v>
      </c>
    </row>
    <row r="38" spans="1:18">
      <c r="A38" s="15" t="s">
        <v>380</v>
      </c>
      <c r="B38" s="17" t="n">
        <v>2807</v>
      </c>
      <c r="C38" s="18">
        <f>(2327.0/B38*100)</f>
        <v/>
      </c>
      <c r="D38" s="19" t="n">
        <v>480</v>
      </c>
      <c r="E38" s="18" t="n">
        <v>27.4959905</v>
      </c>
      <c r="F38" s="20" t="n">
        <v>2.38539171</v>
      </c>
      <c r="G38" s="18" t="n">
        <v>63.32922667</v>
      </c>
      <c r="H38" s="20" t="n">
        <v>2.88658321</v>
      </c>
      <c r="I38" s="18" t="s">
        <v>349</v>
      </c>
      <c r="J38" s="20" t="s">
        <v>349</v>
      </c>
      <c r="K38" s="18" t="n">
        <v>0.22895505</v>
      </c>
      <c r="L38" s="20" t="n">
        <v>0.17333838</v>
      </c>
      <c r="M38" s="18" t="n">
        <v>0</v>
      </c>
      <c r="N38" s="20" t="n">
        <v>0</v>
      </c>
      <c r="O38" s="18" t="n">
        <v>0</v>
      </c>
      <c r="P38" s="20" t="n">
        <v>0</v>
      </c>
      <c r="Q38" s="18" t="n">
        <v>8.94582778</v>
      </c>
      <c r="R38" s="20" t="n">
        <v>1.8220996</v>
      </c>
    </row>
    <row r="39" spans="1:18">
      <c r="A39" s="15" t="s">
        <v>381</v>
      </c>
      <c r="B39" s="17" t="n">
        <v>2938</v>
      </c>
      <c r="C39" s="18">
        <f>(2601.0/B39*100)</f>
        <v/>
      </c>
      <c r="D39" s="19" t="n">
        <v>337</v>
      </c>
      <c r="E39" s="18" t="n">
        <v>37.24320179</v>
      </c>
      <c r="F39" s="20" t="n">
        <v>2.45718786</v>
      </c>
      <c r="G39" s="18" t="n">
        <v>50.15724314</v>
      </c>
      <c r="H39" s="20" t="n">
        <v>2.53648778</v>
      </c>
      <c r="I39" s="18" t="s">
        <v>349</v>
      </c>
      <c r="J39" s="20" t="s">
        <v>349</v>
      </c>
      <c r="K39" s="18" t="n">
        <v>1.25801483</v>
      </c>
      <c r="L39" s="20" t="n">
        <v>0.60979012</v>
      </c>
      <c r="M39" s="18" t="n">
        <v>0.27488752</v>
      </c>
      <c r="N39" s="20" t="n">
        <v>0.36519966</v>
      </c>
      <c r="O39" s="18" t="n">
        <v>0</v>
      </c>
      <c r="P39" s="20" t="n">
        <v>0</v>
      </c>
      <c r="Q39" s="18" t="n">
        <v>11.06665272</v>
      </c>
      <c r="R39" s="20" t="n">
        <v>1.9910282</v>
      </c>
    </row>
    <row r="40" spans="1:18">
      <c r="A40" s="15" t="s">
        <v>382</v>
      </c>
      <c r="B40" s="17" t="n">
        <v>6922</v>
      </c>
      <c r="C40" s="18">
        <f>(6093.0/B40*100)</f>
        <v/>
      </c>
      <c r="D40" s="19" t="n">
        <v>829</v>
      </c>
      <c r="E40" s="18" t="n">
        <v>26.25303533</v>
      </c>
      <c r="F40" s="20" t="n">
        <v>1.94747471</v>
      </c>
      <c r="G40" s="18" t="n">
        <v>66.08672767</v>
      </c>
      <c r="H40" s="20" t="n">
        <v>1.93603827</v>
      </c>
      <c r="I40" s="18" t="s">
        <v>349</v>
      </c>
      <c r="J40" s="20" t="s">
        <v>349</v>
      </c>
      <c r="K40" s="18" t="n">
        <v>0.01909123</v>
      </c>
      <c r="L40" s="20" t="n">
        <v>0.01972286</v>
      </c>
      <c r="M40" s="18" t="n">
        <v>0.41841217</v>
      </c>
      <c r="N40" s="20" t="n">
        <v>0.39541621</v>
      </c>
      <c r="O40" s="18" t="n">
        <v>0</v>
      </c>
      <c r="P40" s="20" t="n">
        <v>0</v>
      </c>
      <c r="Q40" s="18" t="n">
        <v>7.2227336</v>
      </c>
      <c r="R40" s="20" t="n">
        <v>1.59080515</v>
      </c>
    </row>
    <row r="41" spans="1:18">
      <c r="A41" s="15" t="s">
        <v>383</v>
      </c>
      <c r="B41" s="17" t="n">
        <v>2854</v>
      </c>
      <c r="C41" s="18">
        <f>(2511.0/B41*100)</f>
        <v/>
      </c>
      <c r="D41" s="19" t="n">
        <v>343</v>
      </c>
      <c r="E41" s="18" t="n">
        <v>42.70444262</v>
      </c>
      <c r="F41" s="20" t="n">
        <v>2.59146372</v>
      </c>
      <c r="G41" s="18" t="n">
        <v>53.46371977</v>
      </c>
      <c r="H41" s="20" t="n">
        <v>2.59762107</v>
      </c>
      <c r="I41" s="18" t="s">
        <v>349</v>
      </c>
      <c r="J41" s="20" t="s">
        <v>349</v>
      </c>
      <c r="K41" s="18" t="n">
        <v>0</v>
      </c>
      <c r="L41" s="20" t="n">
        <v>0</v>
      </c>
      <c r="M41" s="18" t="n">
        <v>0</v>
      </c>
      <c r="N41" s="20" t="n">
        <v>0</v>
      </c>
      <c r="O41" s="18" t="n">
        <v>0</v>
      </c>
      <c r="P41" s="20" t="n">
        <v>0</v>
      </c>
      <c r="Q41" s="18" t="n">
        <v>3.8318376</v>
      </c>
      <c r="R41" s="20" t="n">
        <v>1.30527248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(10858.0/B46*100)</f>
        <v/>
      </c>
      <c r="D46" s="19" t="n">
        <v>1215</v>
      </c>
      <c r="E46" s="18" t="n">
        <v>48.16482059</v>
      </c>
      <c r="F46" s="20" t="n">
        <v>1.75995484</v>
      </c>
      <c r="G46" s="18" t="n">
        <v>33.96041082</v>
      </c>
      <c r="H46" s="20" t="n">
        <v>1.93108023</v>
      </c>
      <c r="I46" s="18" t="s">
        <v>349</v>
      </c>
      <c r="J46" s="20" t="s">
        <v>349</v>
      </c>
      <c r="K46" s="18" t="n">
        <v>1.41676017</v>
      </c>
      <c r="L46" s="20" t="n">
        <v>0.4520605</v>
      </c>
      <c r="M46" s="18" t="n">
        <v>0.44152428</v>
      </c>
      <c r="N46" s="20" t="n">
        <v>0.31611535</v>
      </c>
      <c r="O46" s="18" t="n">
        <v>0</v>
      </c>
      <c r="P46" s="20" t="n">
        <v>0</v>
      </c>
      <c r="Q46" s="18" t="n">
        <v>16.01648414</v>
      </c>
      <c r="R46" s="20" t="n">
        <v>1.41650524</v>
      </c>
    </row>
    <row r="47" spans="1:18">
      <c r="A47" s="15" t="s">
        <v>389</v>
      </c>
      <c r="B47" s="17" t="n">
        <v>2823</v>
      </c>
      <c r="C47" s="18">
        <f>(2483.0/B47*100)</f>
        <v/>
      </c>
      <c r="D47" s="19" t="n">
        <v>340</v>
      </c>
      <c r="E47" s="18" t="n">
        <v>38.57632993</v>
      </c>
      <c r="F47" s="20" t="n">
        <v>2.55989631</v>
      </c>
      <c r="G47" s="18" t="n">
        <v>42.32282216</v>
      </c>
      <c r="H47" s="20" t="n">
        <v>2.61045346</v>
      </c>
      <c r="I47" s="18" t="s">
        <v>349</v>
      </c>
      <c r="J47" s="20" t="s">
        <v>349</v>
      </c>
      <c r="K47" s="18" t="n">
        <v>0.31102099</v>
      </c>
      <c r="L47" s="20" t="n">
        <v>0.27975821</v>
      </c>
      <c r="M47" s="18" t="n">
        <v>0</v>
      </c>
      <c r="N47" s="20" t="n">
        <v>0</v>
      </c>
      <c r="O47" s="18" t="n">
        <v>0</v>
      </c>
      <c r="P47" s="20" t="n">
        <v>0</v>
      </c>
      <c r="Q47" s="18" t="n">
        <v>18.78982692</v>
      </c>
      <c r="R47" s="20" t="n">
        <v>2.01502058</v>
      </c>
    </row>
    <row r="48" spans="1:18">
      <c r="A48" s="15" t="s">
        <v>390</v>
      </c>
      <c r="B48" s="17" t="n">
        <v>4682</v>
      </c>
      <c r="C48" s="18">
        <f>(4109.0/B48*100)</f>
        <v/>
      </c>
      <c r="D48" s="19" t="n">
        <v>573</v>
      </c>
      <c r="E48" s="18" t="n">
        <v>29.92998234</v>
      </c>
      <c r="F48" s="20" t="n">
        <v>2.62169137</v>
      </c>
      <c r="G48" s="18" t="n">
        <v>65.27118525</v>
      </c>
      <c r="H48" s="20" t="n">
        <v>2.84409026</v>
      </c>
      <c r="I48" s="18" t="s">
        <v>349</v>
      </c>
      <c r="J48" s="20" t="s">
        <v>349</v>
      </c>
      <c r="K48" s="18" t="n">
        <v>0.35022305</v>
      </c>
      <c r="L48" s="20" t="n">
        <v>0.3397783</v>
      </c>
      <c r="M48" s="18" t="n">
        <v>0</v>
      </c>
      <c r="N48" s="20" t="n">
        <v>0</v>
      </c>
      <c r="O48" s="18" t="n">
        <v>0</v>
      </c>
      <c r="P48" s="20" t="n">
        <v>0</v>
      </c>
      <c r="Q48" s="18" t="n">
        <v>4.44860936</v>
      </c>
      <c r="R48" s="20" t="n">
        <v>1.16159362</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(5450.0/B50*100)</f>
        <v/>
      </c>
      <c r="D50" s="19" t="n">
        <v>708</v>
      </c>
      <c r="E50" s="18" t="n">
        <v>56.62081999</v>
      </c>
      <c r="F50" s="20" t="n">
        <v>2.7562354</v>
      </c>
      <c r="G50" s="18" t="n">
        <v>36.65563696</v>
      </c>
      <c r="H50" s="20" t="n">
        <v>2.71195812</v>
      </c>
      <c r="I50" s="18" t="s">
        <v>349</v>
      </c>
      <c r="J50" s="20" t="s">
        <v>349</v>
      </c>
      <c r="K50" s="18" t="n">
        <v>1.94100047</v>
      </c>
      <c r="L50" s="20" t="n">
        <v>0.66025003</v>
      </c>
      <c r="M50" s="18" t="n">
        <v>0.14127146</v>
      </c>
      <c r="N50" s="20" t="n">
        <v>0.14128106</v>
      </c>
      <c r="O50" s="18" t="n">
        <v>0</v>
      </c>
      <c r="P50" s="20" t="n">
        <v>0</v>
      </c>
      <c r="Q50" s="18" t="n">
        <v>4.64127112</v>
      </c>
      <c r="R50" s="20" t="n">
        <v>0.9857288400000001</v>
      </c>
    </row>
    <row r="51" spans="1:18">
      <c r="A51" s="15" t="s">
        <v>393</v>
      </c>
      <c r="B51" s="17" t="n">
        <v>3494</v>
      </c>
      <c r="C51" s="18">
        <f>(3137.0/B51*100)</f>
        <v/>
      </c>
      <c r="D51" s="19" t="n">
        <v>357</v>
      </c>
      <c r="E51" s="18" t="n">
        <v>46.9705357</v>
      </c>
      <c r="F51" s="20" t="n">
        <v>3.58927643</v>
      </c>
      <c r="G51" s="18" t="n">
        <v>41.42676745</v>
      </c>
      <c r="H51" s="20" t="n">
        <v>3.58629783</v>
      </c>
      <c r="I51" s="18" t="s">
        <v>349</v>
      </c>
      <c r="J51" s="20" t="s">
        <v>349</v>
      </c>
      <c r="K51" s="18" t="n">
        <v>0.27027776</v>
      </c>
      <c r="L51" s="20" t="n">
        <v>0.27037798</v>
      </c>
      <c r="M51" s="18" t="n">
        <v>0</v>
      </c>
      <c r="N51" s="20" t="n">
        <v>0</v>
      </c>
      <c r="O51" s="18" t="n">
        <v>0</v>
      </c>
      <c r="P51" s="20" t="n">
        <v>0</v>
      </c>
      <c r="Q51" s="18" t="n">
        <v>11.33241909</v>
      </c>
      <c r="R51" s="20" t="n">
        <v>1.7077468</v>
      </c>
    </row>
    <row r="52" spans="1:18">
      <c r="A52" s="15" t="s">
        <v>394</v>
      </c>
      <c r="B52" s="17" t="n">
        <v>3013</v>
      </c>
      <c r="C52" s="18">
        <f>(2653.0/B52*100)</f>
        <v/>
      </c>
      <c r="D52" s="19" t="n">
        <v>360</v>
      </c>
      <c r="E52" s="18" t="n">
        <v>25.63718843</v>
      </c>
      <c r="F52" s="20" t="n">
        <v>2.16854989</v>
      </c>
      <c r="G52" s="18" t="n">
        <v>54.22872725</v>
      </c>
      <c r="H52" s="20" t="n">
        <v>2.63996674</v>
      </c>
      <c r="I52" s="18" t="s">
        <v>349</v>
      </c>
      <c r="J52" s="20" t="s">
        <v>349</v>
      </c>
      <c r="K52" s="18" t="n">
        <v>0.29499475</v>
      </c>
      <c r="L52" s="20" t="n">
        <v>0.29652816</v>
      </c>
      <c r="M52" s="18" t="n">
        <v>0</v>
      </c>
      <c r="N52" s="20" t="n">
        <v>0</v>
      </c>
      <c r="O52" s="18" t="n">
        <v>0</v>
      </c>
      <c r="P52" s="20" t="n">
        <v>0</v>
      </c>
      <c r="Q52" s="18" t="n">
        <v>19.83908957</v>
      </c>
      <c r="R52" s="20" t="n">
        <v>2.25631964</v>
      </c>
    </row>
    <row r="53" spans="1:18">
      <c r="A53" s="15" t="s">
        <v>395</v>
      </c>
      <c r="B53" s="17" t="n">
        <v>2760</v>
      </c>
      <c r="C53" s="18">
        <f>(2433.0/B53*100)</f>
        <v/>
      </c>
      <c r="D53" s="19" t="n">
        <v>327</v>
      </c>
      <c r="E53" s="18" t="n">
        <v>38.34100668</v>
      </c>
      <c r="F53" s="20" t="n">
        <v>3.09248293</v>
      </c>
      <c r="G53" s="18" t="n">
        <v>50.8856557</v>
      </c>
      <c r="H53" s="20" t="n">
        <v>2.88554445</v>
      </c>
      <c r="I53" s="18" t="s">
        <v>349</v>
      </c>
      <c r="J53" s="20" t="s">
        <v>349</v>
      </c>
      <c r="K53" s="18" t="n">
        <v>0.26355</v>
      </c>
      <c r="L53" s="20" t="n">
        <v>0.25634907</v>
      </c>
      <c r="M53" s="18" t="n">
        <v>0</v>
      </c>
      <c r="N53" s="20" t="n">
        <v>0</v>
      </c>
      <c r="O53" s="18" t="n">
        <v>0</v>
      </c>
      <c r="P53" s="20" t="n">
        <v>0</v>
      </c>
      <c r="Q53" s="18" t="n">
        <v>10.50978762</v>
      </c>
      <c r="R53" s="20" t="n">
        <v>1.7008543</v>
      </c>
    </row>
    <row r="54" spans="1:18">
      <c r="A54" s="15" t="s">
        <v>396</v>
      </c>
      <c r="B54" s="17" t="n">
        <v>2474</v>
      </c>
      <c r="C54" s="18">
        <f>(2046.0/B54*100)</f>
        <v/>
      </c>
      <c r="D54" s="19" t="n">
        <v>428</v>
      </c>
      <c r="E54" s="18" t="n">
        <v>57.43457544</v>
      </c>
      <c r="F54" s="20" t="n">
        <v>2.52167987</v>
      </c>
      <c r="G54" s="18" t="n">
        <v>13.55123276</v>
      </c>
      <c r="H54" s="20" t="n">
        <v>1.72936919</v>
      </c>
      <c r="I54" s="18" t="s">
        <v>349</v>
      </c>
      <c r="J54" s="20" t="s">
        <v>349</v>
      </c>
      <c r="K54" s="18" t="n">
        <v>10.71382368</v>
      </c>
      <c r="L54" s="20" t="n">
        <v>1.5910003</v>
      </c>
      <c r="M54" s="18" t="n">
        <v>1.50101185</v>
      </c>
      <c r="N54" s="20" t="n">
        <v>1.23095778</v>
      </c>
      <c r="O54" s="18" t="n">
        <v>0</v>
      </c>
      <c r="P54" s="20" t="n">
        <v>0</v>
      </c>
      <c r="Q54" s="18" t="n">
        <v>16.79935627</v>
      </c>
      <c r="R54" s="20" t="n">
        <v>1.96133537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28.52377013</v>
      </c>
      <c r="F56" s="20" t="n">
        <v>2.38394188</v>
      </c>
      <c r="G56" s="18" t="n">
        <v>69.65147897999999</v>
      </c>
      <c r="H56" s="20" t="n">
        <v>2.64192614</v>
      </c>
      <c r="I56" s="18" t="s">
        <v>349</v>
      </c>
      <c r="J56" s="20" t="s">
        <v>349</v>
      </c>
      <c r="K56" s="18" t="n">
        <v>0</v>
      </c>
      <c r="L56" s="20" t="n">
        <v>0</v>
      </c>
      <c r="M56" s="18" t="n">
        <v>0</v>
      </c>
      <c r="N56" s="20" t="n">
        <v>0</v>
      </c>
      <c r="O56" s="18" t="n">
        <v>0</v>
      </c>
      <c r="P56" s="20" t="n">
        <v>0</v>
      </c>
      <c r="Q56" s="18" t="n">
        <v>1.8247509</v>
      </c>
      <c r="R56" s="20" t="n">
        <v>0.9669368</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(2791.0/B61*100)</f>
        <v/>
      </c>
      <c r="D61" s="19" t="n">
        <v>410</v>
      </c>
      <c r="E61" s="18" t="n">
        <v>29.14198254</v>
      </c>
      <c r="F61" s="20" t="n">
        <v>2.65501152</v>
      </c>
      <c r="G61" s="18" t="n">
        <v>60.96747008</v>
      </c>
      <c r="H61" s="20" t="n">
        <v>3.03643643</v>
      </c>
      <c r="I61" s="18" t="s">
        <v>349</v>
      </c>
      <c r="J61" s="20" t="s">
        <v>349</v>
      </c>
      <c r="K61" s="18" t="n">
        <v>0.71427224</v>
      </c>
      <c r="L61" s="20" t="n">
        <v>0.6961470400000001</v>
      </c>
      <c r="M61" s="18" t="n">
        <v>0.29717995</v>
      </c>
      <c r="N61" s="20" t="n">
        <v>0.29164425</v>
      </c>
      <c r="O61" s="18" t="n">
        <v>0</v>
      </c>
      <c r="P61" s="20" t="n">
        <v>0</v>
      </c>
      <c r="Q61" s="18" t="n">
        <v>8.879095189999999</v>
      </c>
      <c r="R61" s="20" t="n">
        <v>1.83531028</v>
      </c>
    </row>
    <row r="62" spans="1:18">
      <c r="A62" s="15" t="s">
        <v>404</v>
      </c>
      <c r="B62" s="17" t="n">
        <v>2230</v>
      </c>
      <c r="C62" s="18">
        <f>(1959.0/B62*100)</f>
        <v/>
      </c>
      <c r="D62" s="19" t="n">
        <v>271</v>
      </c>
      <c r="E62" s="18" t="n">
        <v>25.37476337</v>
      </c>
      <c r="F62" s="20" t="n">
        <v>2.98103174</v>
      </c>
      <c r="G62" s="18" t="n">
        <v>74.25845802000001</v>
      </c>
      <c r="H62" s="20" t="n">
        <v>3.00322587</v>
      </c>
      <c r="I62" s="18" t="s">
        <v>349</v>
      </c>
      <c r="J62" s="20" t="s">
        <v>349</v>
      </c>
      <c r="K62" s="18" t="n">
        <v>0</v>
      </c>
      <c r="L62" s="20" t="n">
        <v>0</v>
      </c>
      <c r="M62" s="18" t="n">
        <v>0</v>
      </c>
      <c r="N62" s="20" t="n">
        <v>0</v>
      </c>
      <c r="O62" s="18" t="n">
        <v>0</v>
      </c>
      <c r="P62" s="20" t="n">
        <v>0</v>
      </c>
      <c r="Q62" s="18" t="n">
        <v>0.3667786</v>
      </c>
      <c r="R62" s="20" t="n">
        <v>0.36774315</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(2441.0/B66*100)</f>
        <v/>
      </c>
      <c r="D66" s="19" t="n">
        <v>330</v>
      </c>
      <c r="E66" s="18" t="n">
        <v>28.64904416</v>
      </c>
      <c r="F66" s="20" t="n">
        <v>2.46150097</v>
      </c>
      <c r="G66" s="18" t="n">
        <v>38.13773583</v>
      </c>
      <c r="H66" s="20" t="n">
        <v>2.74879081</v>
      </c>
      <c r="I66" s="18" t="s">
        <v>349</v>
      </c>
      <c r="J66" s="20" t="s">
        <v>349</v>
      </c>
      <c r="K66" s="18" t="n">
        <v>0.53745457</v>
      </c>
      <c r="L66" s="20" t="n">
        <v>0.37524658</v>
      </c>
      <c r="M66" s="18" t="n">
        <v>0</v>
      </c>
      <c r="N66" s="20" t="n">
        <v>0</v>
      </c>
      <c r="O66" s="18" t="n">
        <v>0</v>
      </c>
      <c r="P66" s="20" t="n">
        <v>0</v>
      </c>
      <c r="Q66" s="18" t="n">
        <v>32.67576545</v>
      </c>
      <c r="R66" s="20" t="n">
        <v>2.41288757</v>
      </c>
    </row>
    <row r="67" spans="1:18">
      <c r="A67" s="15" t="s">
        <v>409</v>
      </c>
      <c r="B67" s="17" t="n">
        <v>3460</v>
      </c>
      <c r="C67" s="18">
        <f>(3085.0/B67*100)</f>
        <v/>
      </c>
      <c r="D67" s="19" t="n">
        <v>375</v>
      </c>
      <c r="E67" s="18" t="n">
        <v>46.82557714</v>
      </c>
      <c r="F67" s="20" t="n">
        <v>2.57112485</v>
      </c>
      <c r="G67" s="18" t="n">
        <v>39.32158303</v>
      </c>
      <c r="H67" s="20" t="n">
        <v>3.02463467</v>
      </c>
      <c r="I67" s="18" t="s">
        <v>349</v>
      </c>
      <c r="J67" s="20" t="s">
        <v>349</v>
      </c>
      <c r="K67" s="18" t="n">
        <v>0.69001305</v>
      </c>
      <c r="L67" s="20" t="n">
        <v>0.6925054</v>
      </c>
      <c r="M67" s="18" t="n">
        <v>0</v>
      </c>
      <c r="N67" s="20" t="n">
        <v>0</v>
      </c>
      <c r="O67" s="18" t="n">
        <v>0</v>
      </c>
      <c r="P67" s="20" t="n">
        <v>0</v>
      </c>
      <c r="Q67" s="18" t="n">
        <v>13.16282678</v>
      </c>
      <c r="R67" s="20" t="n">
        <v>1.76847768</v>
      </c>
    </row>
    <row r="68" spans="1:18">
      <c r="A68" s="15" t="s">
        <v>410</v>
      </c>
      <c r="B68" s="17" t="n">
        <v>6034</v>
      </c>
      <c r="C68" s="18">
        <f>(5040.0/B68*100)</f>
        <v/>
      </c>
      <c r="D68" s="19" t="n">
        <v>994</v>
      </c>
      <c r="E68" s="18" t="n">
        <v>45.01157021</v>
      </c>
      <c r="F68" s="20" t="n">
        <v>1.63424032</v>
      </c>
      <c r="G68" s="18" t="n">
        <v>46.02689474</v>
      </c>
      <c r="H68" s="20" t="n">
        <v>1.61489864</v>
      </c>
      <c r="I68" s="18" t="s">
        <v>349</v>
      </c>
      <c r="J68" s="20" t="s">
        <v>349</v>
      </c>
      <c r="K68" s="18" t="n">
        <v>1.3898757</v>
      </c>
      <c r="L68" s="20" t="n">
        <v>0.33749493</v>
      </c>
      <c r="M68" s="18" t="n">
        <v>0</v>
      </c>
      <c r="N68" s="20" t="n">
        <v>0</v>
      </c>
      <c r="O68" s="18" t="n">
        <v>0</v>
      </c>
      <c r="P68" s="20" t="n">
        <v>0</v>
      </c>
      <c r="Q68" s="18" t="n">
        <v>7.57165934</v>
      </c>
      <c r="R68" s="20" t="n">
        <v>0.87208686</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(2777.0/B70*100)</f>
        <v/>
      </c>
      <c r="D70" s="19" t="n">
        <v>330</v>
      </c>
      <c r="E70" s="18" t="n">
        <v>31.7245088</v>
      </c>
      <c r="F70" s="20" t="n">
        <v>3.56470351</v>
      </c>
      <c r="G70" s="18" t="n">
        <v>59.32535857</v>
      </c>
      <c r="H70" s="20" t="n">
        <v>3.54722278</v>
      </c>
      <c r="I70" s="18" t="s">
        <v>349</v>
      </c>
      <c r="J70" s="20" t="s">
        <v>349</v>
      </c>
      <c r="K70" s="18" t="n">
        <v>1.26758845</v>
      </c>
      <c r="L70" s="20" t="n">
        <v>0.47037915</v>
      </c>
      <c r="M70" s="18" t="n">
        <v>2.51854379</v>
      </c>
      <c r="N70" s="20" t="n">
        <v>0.83856597</v>
      </c>
      <c r="O70" s="18" t="n">
        <v>0</v>
      </c>
      <c r="P70" s="20" t="n">
        <v>0</v>
      </c>
      <c r="Q70" s="18" t="n">
        <v>5.16400039</v>
      </c>
      <c r="R70" s="20" t="n">
        <v>1.25028214</v>
      </c>
    </row>
    <row r="71" spans="1:18">
      <c r="A71" s="15" t="s">
        <v>413</v>
      </c>
      <c r="B71" s="17" t="n">
        <v>2973</v>
      </c>
      <c r="C71" s="18">
        <f>(2635.0/B71*100)</f>
        <v/>
      </c>
      <c r="D71" s="19" t="n">
        <v>338</v>
      </c>
      <c r="E71" s="18" t="n">
        <v>22.80770069</v>
      </c>
      <c r="F71" s="20" t="n">
        <v>2.61721559</v>
      </c>
      <c r="G71" s="18" t="n">
        <v>75.62480752</v>
      </c>
      <c r="H71" s="20" t="n">
        <v>2.64516759</v>
      </c>
      <c r="I71" s="18" t="s">
        <v>349</v>
      </c>
      <c r="J71" s="20" t="s">
        <v>349</v>
      </c>
      <c r="K71" s="18" t="n">
        <v>0</v>
      </c>
      <c r="L71" s="20" t="n">
        <v>0</v>
      </c>
      <c r="M71" s="18" t="n">
        <v>0</v>
      </c>
      <c r="N71" s="20" t="n">
        <v>0</v>
      </c>
      <c r="O71" s="18" t="n">
        <v>0</v>
      </c>
      <c r="P71" s="20" t="n">
        <v>0</v>
      </c>
      <c r="Q71" s="18" t="n">
        <v>1.56749178</v>
      </c>
      <c r="R71" s="20" t="n">
        <v>0.57650261</v>
      </c>
    </row>
    <row r="72" spans="1:18">
      <c r="A72" s="15" t="s">
        <v>414</v>
      </c>
      <c r="B72" s="17" t="n">
        <v>3819</v>
      </c>
      <c r="C72" s="18">
        <f>(3352.0/B72*100)</f>
        <v/>
      </c>
      <c r="D72" s="19" t="n">
        <v>467</v>
      </c>
      <c r="E72" s="18" t="n">
        <v>14.31715104</v>
      </c>
      <c r="F72" s="20" t="n">
        <v>1.88816591</v>
      </c>
      <c r="G72" s="18" t="n">
        <v>81.04636331</v>
      </c>
      <c r="H72" s="20" t="n">
        <v>1.98565342</v>
      </c>
      <c r="I72" s="18" t="s">
        <v>349</v>
      </c>
      <c r="J72" s="20" t="s">
        <v>349</v>
      </c>
      <c r="K72" s="18" t="n">
        <v>0</v>
      </c>
      <c r="L72" s="20" t="n">
        <v>0</v>
      </c>
      <c r="M72" s="18" t="n">
        <v>0</v>
      </c>
      <c r="N72" s="20" t="n">
        <v>0</v>
      </c>
      <c r="O72" s="18" t="n">
        <v>0</v>
      </c>
      <c r="P72" s="20" t="n">
        <v>0</v>
      </c>
      <c r="Q72" s="18" t="n">
        <v>4.63648565</v>
      </c>
      <c r="R72" s="20" t="n">
        <v>0.96368818</v>
      </c>
    </row>
    <row r="73" spans="1:18">
      <c r="A73" s="15" t="s">
        <v>415</v>
      </c>
      <c r="B73" s="17" t="n">
        <v>4652</v>
      </c>
      <c r="C73" s="18">
        <f>(4089.0/B73*100)</f>
        <v/>
      </c>
      <c r="D73" s="19" t="n">
        <v>563</v>
      </c>
      <c r="E73" s="18" t="n">
        <v>45.41689626</v>
      </c>
      <c r="F73" s="20" t="n">
        <v>2.63210931</v>
      </c>
      <c r="G73" s="18" t="n">
        <v>51.93708325</v>
      </c>
      <c r="H73" s="20" t="n">
        <v>2.7235118</v>
      </c>
      <c r="I73" s="18" t="s">
        <v>349</v>
      </c>
      <c r="J73" s="20" t="s">
        <v>349</v>
      </c>
      <c r="K73" s="18" t="n">
        <v>0</v>
      </c>
      <c r="L73" s="20" t="n">
        <v>0</v>
      </c>
      <c r="M73" s="18" t="n">
        <v>0.11060566</v>
      </c>
      <c r="N73" s="20" t="n">
        <v>0.11090143</v>
      </c>
      <c r="O73" s="18" t="n">
        <v>0</v>
      </c>
      <c r="P73" s="20" t="n">
        <v>0</v>
      </c>
      <c r="Q73" s="18" t="n">
        <v>2.53541483</v>
      </c>
      <c r="R73" s="20" t="n">
        <v>0.67655907</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(2620.0/B75*100)</f>
        <v/>
      </c>
      <c r="D75" s="19" t="n">
        <v>349</v>
      </c>
      <c r="E75" s="18" t="n">
        <v>47.64653072</v>
      </c>
      <c r="F75" s="20" t="n">
        <v>3.1163898</v>
      </c>
      <c r="G75" s="18" t="n">
        <v>29.39158066</v>
      </c>
      <c r="H75" s="20" t="n">
        <v>2.52850774</v>
      </c>
      <c r="I75" s="18" t="s">
        <v>349</v>
      </c>
      <c r="J75" s="20" t="s">
        <v>349</v>
      </c>
      <c r="K75" s="18" t="n">
        <v>3.63115125</v>
      </c>
      <c r="L75" s="20" t="n">
        <v>1.12963116</v>
      </c>
      <c r="M75" s="18" t="n">
        <v>0</v>
      </c>
      <c r="N75" s="20" t="n">
        <v>0</v>
      </c>
      <c r="O75" s="18" t="n">
        <v>0</v>
      </c>
      <c r="P75" s="20" t="n">
        <v>0</v>
      </c>
      <c r="Q75" s="18" t="n">
        <v>19.33073736</v>
      </c>
      <c r="R75" s="20" t="n">
        <v>2.03300478</v>
      </c>
    </row>
    <row r="76" spans="1:18">
      <c r="A76" s="15" t="s">
        <v>418</v>
      </c>
      <c r="B76" s="17" t="n">
        <v>7115</v>
      </c>
      <c r="C76" s="18">
        <f>(6284.0/B76*100)</f>
        <v/>
      </c>
      <c r="D76" s="19" t="n">
        <v>831</v>
      </c>
      <c r="E76" s="18" t="n">
        <v>44.32708609</v>
      </c>
      <c r="F76" s="20" t="n">
        <v>2.24321224</v>
      </c>
      <c r="G76" s="18" t="n">
        <v>50.55239721</v>
      </c>
      <c r="H76" s="20" t="n">
        <v>2.2045183</v>
      </c>
      <c r="I76" s="18" t="s">
        <v>349</v>
      </c>
      <c r="J76" s="20" t="s">
        <v>349</v>
      </c>
      <c r="K76" s="18" t="n">
        <v>0.84375258</v>
      </c>
      <c r="L76" s="20" t="n">
        <v>0.29803692</v>
      </c>
      <c r="M76" s="18" t="n">
        <v>0.08717408</v>
      </c>
      <c r="N76" s="20" t="n">
        <v>0.08829716999999999</v>
      </c>
      <c r="O76" s="18" t="n">
        <v>0</v>
      </c>
      <c r="P76" s="20" t="n">
        <v>0</v>
      </c>
      <c r="Q76" s="18" t="n">
        <v>4.18959004</v>
      </c>
      <c r="R76" s="20" t="n">
        <v>0.82328702</v>
      </c>
    </row>
    <row r="77" spans="1:18">
      <c r="A77" s="15" t="s">
        <v>419</v>
      </c>
      <c r="B77" s="17" t="n">
        <v>3154</v>
      </c>
      <c r="C77" s="18">
        <f>(2785.0/B77*100)</f>
        <v/>
      </c>
      <c r="D77" s="19" t="n">
        <v>369</v>
      </c>
      <c r="E77" s="18" t="n">
        <v>37.22550295</v>
      </c>
      <c r="F77" s="20" t="n">
        <v>2.54750451</v>
      </c>
      <c r="G77" s="18" t="n">
        <v>39.48227295</v>
      </c>
      <c r="H77" s="20" t="n">
        <v>2.50877182</v>
      </c>
      <c r="I77" s="18" t="s">
        <v>349</v>
      </c>
      <c r="J77" s="20" t="s">
        <v>349</v>
      </c>
      <c r="K77" s="18" t="n">
        <v>1.30774229</v>
      </c>
      <c r="L77" s="20" t="n">
        <v>0.62560992</v>
      </c>
      <c r="M77" s="18" t="n">
        <v>4.78117426</v>
      </c>
      <c r="N77" s="20" t="n">
        <v>0.96142313</v>
      </c>
      <c r="O77" s="18" t="n">
        <v>0</v>
      </c>
      <c r="P77" s="20" t="n">
        <v>0</v>
      </c>
      <c r="Q77" s="18" t="n">
        <v>17.20330756</v>
      </c>
      <c r="R77" s="20" t="n">
        <v>1.84375983</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(4129.0/B81*100)</f>
        <v/>
      </c>
      <c r="D81" s="19" t="n">
        <v>569</v>
      </c>
      <c r="E81" s="18" t="n">
        <v>48.31198133</v>
      </c>
      <c r="F81" s="20" t="n">
        <v>2.63074219</v>
      </c>
      <c r="G81" s="18" t="n">
        <v>50.49872111</v>
      </c>
      <c r="H81" s="20" t="n">
        <v>2.6012566</v>
      </c>
      <c r="I81" s="18" t="s">
        <v>349</v>
      </c>
      <c r="J81" s="20" t="s">
        <v>349</v>
      </c>
      <c r="K81" s="18" t="n">
        <v>0.28287077</v>
      </c>
      <c r="L81" s="20" t="n">
        <v>0.27999662</v>
      </c>
      <c r="M81" s="18" t="n">
        <v>0</v>
      </c>
      <c r="N81" s="20" t="n">
        <v>0</v>
      </c>
      <c r="O81" s="18" t="n">
        <v>0</v>
      </c>
      <c r="P81" s="20" t="n">
        <v>0</v>
      </c>
      <c r="Q81" s="18" t="n">
        <v>0.90642679</v>
      </c>
      <c r="R81" s="20" t="n">
        <v>0.50699435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(6315.0/B7*100)</f>
        <v/>
      </c>
      <c r="D7" s="19" t="n">
        <v>848</v>
      </c>
      <c r="E7" s="18" t="n">
        <v>56.3447297</v>
      </c>
      <c r="F7" s="20" t="n">
        <v>2.0560034</v>
      </c>
      <c r="G7" s="18" t="n">
        <v>27.87173141</v>
      </c>
      <c r="H7" s="20" t="n">
        <v>1.76679659</v>
      </c>
      <c r="I7" s="18" t="s">
        <v>349</v>
      </c>
      <c r="J7" s="20" t="s">
        <v>349</v>
      </c>
      <c r="K7" s="18" t="n">
        <v>0.58320096</v>
      </c>
      <c r="L7" s="20" t="n">
        <v>0.29384528</v>
      </c>
      <c r="M7" s="18" t="n">
        <v>0</v>
      </c>
      <c r="N7" s="20" t="n">
        <v>0</v>
      </c>
      <c r="O7" s="18" t="n">
        <v>0</v>
      </c>
      <c r="P7" s="20" t="n">
        <v>0</v>
      </c>
      <c r="Q7" s="18" t="n">
        <v>15.20033794</v>
      </c>
      <c r="R7" s="20" t="n">
        <v>1.46142487</v>
      </c>
    </row>
    <row r="8" spans="1:18">
      <c r="A8" s="15" t="s">
        <v>350</v>
      </c>
      <c r="B8" s="17" t="n">
        <v>3443</v>
      </c>
      <c r="C8" s="18">
        <f>(3034.0/B8*100)</f>
        <v/>
      </c>
      <c r="D8" s="19" t="n">
        <v>409</v>
      </c>
      <c r="E8" s="18" t="n">
        <v>49.82356803</v>
      </c>
      <c r="F8" s="20" t="n">
        <v>2.31514718</v>
      </c>
      <c r="G8" s="18" t="n">
        <v>30.2361786</v>
      </c>
      <c r="H8" s="20" t="n">
        <v>2.09913059</v>
      </c>
      <c r="I8" s="18" t="s">
        <v>349</v>
      </c>
      <c r="J8" s="20" t="s">
        <v>349</v>
      </c>
      <c r="K8" s="18" t="n">
        <v>0.50303409</v>
      </c>
      <c r="L8" s="20" t="n">
        <v>0.38584046</v>
      </c>
      <c r="M8" s="18" t="n">
        <v>0</v>
      </c>
      <c r="N8" s="20" t="n">
        <v>0</v>
      </c>
      <c r="O8" s="18" t="n">
        <v>0</v>
      </c>
      <c r="P8" s="20" t="n">
        <v>0</v>
      </c>
      <c r="Q8" s="18" t="n">
        <v>19.43721928</v>
      </c>
      <c r="R8" s="20" t="n">
        <v>2.10228793</v>
      </c>
    </row>
    <row r="9" spans="1:18">
      <c r="A9" s="15" t="s">
        <v>351</v>
      </c>
      <c r="B9" s="17" t="n">
        <v>4752</v>
      </c>
      <c r="C9" s="18">
        <f>(4183.0/B9*100)</f>
        <v/>
      </c>
      <c r="D9" s="19" t="n">
        <v>569</v>
      </c>
      <c r="E9" s="18" t="n">
        <v>48.05386617</v>
      </c>
      <c r="F9" s="20" t="n">
        <v>2.28330623</v>
      </c>
      <c r="G9" s="18" t="n">
        <v>33.36793179</v>
      </c>
      <c r="H9" s="20" t="n">
        <v>2.0105681</v>
      </c>
      <c r="I9" s="18" t="s">
        <v>349</v>
      </c>
      <c r="J9" s="20" t="s">
        <v>349</v>
      </c>
      <c r="K9" s="18" t="n">
        <v>0.42523841</v>
      </c>
      <c r="L9" s="20" t="n">
        <v>0.33343124</v>
      </c>
      <c r="M9" s="18" t="n">
        <v>0</v>
      </c>
      <c r="N9" s="20" t="n">
        <v>0</v>
      </c>
      <c r="O9" s="18" t="n">
        <v>0</v>
      </c>
      <c r="P9" s="20" t="n">
        <v>0</v>
      </c>
      <c r="Q9" s="18" t="n">
        <v>18.15296363</v>
      </c>
      <c r="R9" s="20" t="n">
        <v>1.69428129</v>
      </c>
    </row>
    <row r="10" spans="1:18">
      <c r="A10" s="15" t="s">
        <v>352</v>
      </c>
      <c r="B10" s="17" t="n">
        <v>10022</v>
      </c>
      <c r="C10" s="18">
        <f>(8786.0/B10*100)</f>
        <v/>
      </c>
      <c r="D10" s="19" t="n">
        <v>1236</v>
      </c>
      <c r="E10" s="18" t="n">
        <v>53.54367831</v>
      </c>
      <c r="F10" s="20" t="n">
        <v>1.79866467</v>
      </c>
      <c r="G10" s="18" t="n">
        <v>37.6102012</v>
      </c>
      <c r="H10" s="20" t="n">
        <v>1.96266747</v>
      </c>
      <c r="I10" s="18" t="s">
        <v>349</v>
      </c>
      <c r="J10" s="20" t="s">
        <v>349</v>
      </c>
      <c r="K10" s="18" t="n">
        <v>0.24173377</v>
      </c>
      <c r="L10" s="20" t="n">
        <v>0.09976016</v>
      </c>
      <c r="M10" s="18" t="n">
        <v>0</v>
      </c>
      <c r="N10" s="20" t="n">
        <v>0</v>
      </c>
      <c r="O10" s="18" t="n">
        <v>0</v>
      </c>
      <c r="P10" s="20" t="n">
        <v>0</v>
      </c>
      <c r="Q10" s="18" t="n">
        <v>8.604386720000001</v>
      </c>
      <c r="R10" s="20" t="n">
        <v>1.18473589</v>
      </c>
    </row>
    <row r="11" spans="1:18">
      <c r="A11" s="15" t="s">
        <v>353</v>
      </c>
      <c r="B11" s="17" t="n">
        <v>3500</v>
      </c>
      <c r="C11" s="18">
        <f>(3083.0/B11*100)</f>
        <v/>
      </c>
      <c r="D11" s="19" t="n">
        <v>417</v>
      </c>
      <c r="E11" s="18" t="n">
        <v>43.05936362</v>
      </c>
      <c r="F11" s="20" t="n">
        <v>2.82993037</v>
      </c>
      <c r="G11" s="18" t="n">
        <v>16.67538666</v>
      </c>
      <c r="H11" s="20" t="n">
        <v>2.01130219</v>
      </c>
      <c r="I11" s="18" t="s">
        <v>349</v>
      </c>
      <c r="J11" s="20" t="s">
        <v>349</v>
      </c>
      <c r="K11" s="18" t="n">
        <v>1.00278044</v>
      </c>
      <c r="L11" s="20" t="n">
        <v>0.51322992</v>
      </c>
      <c r="M11" s="18" t="n">
        <v>0</v>
      </c>
      <c r="N11" s="20" t="n">
        <v>0</v>
      </c>
      <c r="O11" s="18" t="n">
        <v>0</v>
      </c>
      <c r="P11" s="20" t="n">
        <v>0</v>
      </c>
      <c r="Q11" s="18" t="n">
        <v>39.26246927</v>
      </c>
      <c r="R11" s="20" t="n">
        <v>3.0782494</v>
      </c>
    </row>
    <row r="12" spans="1:18">
      <c r="A12" s="15" t="s">
        <v>354</v>
      </c>
      <c r="B12" s="17" t="n">
        <v>3422</v>
      </c>
      <c r="C12" s="18">
        <f>(2983.0/B12*100)</f>
        <v/>
      </c>
      <c r="D12" s="19" t="n">
        <v>439</v>
      </c>
      <c r="E12" s="18" t="n">
        <v>48.69006229</v>
      </c>
      <c r="F12" s="20" t="n">
        <v>2.62564755</v>
      </c>
      <c r="G12" s="18" t="n">
        <v>30.47542012</v>
      </c>
      <c r="H12" s="20" t="n">
        <v>2.59175459</v>
      </c>
      <c r="I12" s="18" t="s">
        <v>349</v>
      </c>
      <c r="J12" s="20" t="s">
        <v>349</v>
      </c>
      <c r="K12" s="18" t="n">
        <v>0.09412484</v>
      </c>
      <c r="L12" s="20" t="n">
        <v>0.09308569</v>
      </c>
      <c r="M12" s="18" t="n">
        <v>0</v>
      </c>
      <c r="N12" s="20" t="n">
        <v>0</v>
      </c>
      <c r="O12" s="18" t="n">
        <v>0</v>
      </c>
      <c r="P12" s="20" t="n">
        <v>0</v>
      </c>
      <c r="Q12" s="18" t="n">
        <v>20.74039275</v>
      </c>
      <c r="R12" s="20" t="n">
        <v>2.08855148</v>
      </c>
    </row>
    <row r="13" spans="1:18">
      <c r="A13" s="15" t="s">
        <v>355</v>
      </c>
      <c r="B13" s="17" t="n">
        <v>3602</v>
      </c>
      <c r="C13" s="18">
        <f>(3162.0/B13*100)</f>
        <v/>
      </c>
      <c r="D13" s="19" t="n">
        <v>440</v>
      </c>
      <c r="E13" s="18" t="n">
        <v>53.98172291</v>
      </c>
      <c r="F13" s="20" t="n">
        <v>3.07508705</v>
      </c>
      <c r="G13" s="18" t="n">
        <v>34.67789044</v>
      </c>
      <c r="H13" s="20" t="n">
        <v>2.95596027</v>
      </c>
      <c r="I13" s="18" t="s">
        <v>349</v>
      </c>
      <c r="J13" s="20" t="s">
        <v>349</v>
      </c>
      <c r="K13" s="18" t="n">
        <v>1.45767054</v>
      </c>
      <c r="L13" s="20" t="n">
        <v>0.65303647</v>
      </c>
      <c r="M13" s="18" t="n">
        <v>0</v>
      </c>
      <c r="N13" s="20" t="n">
        <v>0</v>
      </c>
      <c r="O13" s="18" t="n">
        <v>0</v>
      </c>
      <c r="P13" s="20" t="n">
        <v>0</v>
      </c>
      <c r="Q13" s="18" t="n">
        <v>9.88271611</v>
      </c>
      <c r="R13" s="20" t="n">
        <v>1.54530905</v>
      </c>
    </row>
    <row r="14" spans="1:18">
      <c r="A14" s="15" t="s">
        <v>356</v>
      </c>
      <c r="B14" s="17" t="n">
        <v>2788</v>
      </c>
      <c r="C14" s="18">
        <f>(2428.0/B14*100)</f>
        <v/>
      </c>
      <c r="D14" s="19" t="n">
        <v>360</v>
      </c>
      <c r="E14" s="18" t="n">
        <v>46.52647347</v>
      </c>
      <c r="F14" s="20" t="n">
        <v>3.0849052</v>
      </c>
      <c r="G14" s="18" t="n">
        <v>41.67329731</v>
      </c>
      <c r="H14" s="20" t="n">
        <v>2.58505073</v>
      </c>
      <c r="I14" s="18" t="s">
        <v>349</v>
      </c>
      <c r="J14" s="20" t="s">
        <v>349</v>
      </c>
      <c r="K14" s="18" t="n">
        <v>0.21357754</v>
      </c>
      <c r="L14" s="20" t="n">
        <v>0.20634239</v>
      </c>
      <c r="M14" s="18" t="n">
        <v>0</v>
      </c>
      <c r="N14" s="20" t="n">
        <v>0</v>
      </c>
      <c r="O14" s="18" t="n">
        <v>0</v>
      </c>
      <c r="P14" s="20" t="n">
        <v>0</v>
      </c>
      <c r="Q14" s="18" t="n">
        <v>11.58665168</v>
      </c>
      <c r="R14" s="20" t="n">
        <v>1.96572818</v>
      </c>
    </row>
    <row r="15" spans="1:18">
      <c r="A15" s="15" t="s">
        <v>357</v>
      </c>
      <c r="B15" s="17" t="n">
        <v>2863</v>
      </c>
      <c r="C15" s="18">
        <f>(2515.0/B15*100)</f>
        <v/>
      </c>
      <c r="D15" s="19" t="n">
        <v>348</v>
      </c>
      <c r="E15" s="18" t="n">
        <v>51.73020659</v>
      </c>
      <c r="F15" s="20" t="n">
        <v>2.7325162</v>
      </c>
      <c r="G15" s="18" t="n">
        <v>37.15954783</v>
      </c>
      <c r="H15" s="20" t="n">
        <v>2.8699839</v>
      </c>
      <c r="I15" s="18" t="s">
        <v>349</v>
      </c>
      <c r="J15" s="20" t="s">
        <v>349</v>
      </c>
      <c r="K15" s="18" t="n">
        <v>0</v>
      </c>
      <c r="L15" s="20" t="n">
        <v>0</v>
      </c>
      <c r="M15" s="18" t="n">
        <v>0</v>
      </c>
      <c r="N15" s="20" t="n">
        <v>0</v>
      </c>
      <c r="O15" s="18" t="n">
        <v>0</v>
      </c>
      <c r="P15" s="20" t="n">
        <v>0</v>
      </c>
      <c r="Q15" s="18" t="n">
        <v>11.11024558</v>
      </c>
      <c r="R15" s="20" t="n">
        <v>1.67863259</v>
      </c>
    </row>
    <row r="16" spans="1:18">
      <c r="A16" s="15" t="s">
        <v>358</v>
      </c>
      <c r="B16" s="17" t="n">
        <v>3111</v>
      </c>
      <c r="C16" s="18">
        <f>(2745.0/B16*100)</f>
        <v/>
      </c>
      <c r="D16" s="19" t="n">
        <v>366</v>
      </c>
      <c r="E16" s="18" t="n">
        <v>41.19541831</v>
      </c>
      <c r="F16" s="20" t="n">
        <v>2.61390653</v>
      </c>
      <c r="G16" s="18" t="n">
        <v>33.86441203</v>
      </c>
      <c r="H16" s="20" t="n">
        <v>2.52280188</v>
      </c>
      <c r="I16" s="18" t="s">
        <v>349</v>
      </c>
      <c r="J16" s="20" t="s">
        <v>349</v>
      </c>
      <c r="K16" s="18" t="n">
        <v>1.47549063</v>
      </c>
      <c r="L16" s="20" t="n">
        <v>0.65911445</v>
      </c>
      <c r="M16" s="18" t="n">
        <v>0</v>
      </c>
      <c r="N16" s="20" t="n">
        <v>0</v>
      </c>
      <c r="O16" s="18" t="n">
        <v>0</v>
      </c>
      <c r="P16" s="20" t="n">
        <v>0</v>
      </c>
      <c r="Q16" s="18" t="n">
        <v>23.46467903</v>
      </c>
      <c r="R16" s="20" t="n">
        <v>1.74330028</v>
      </c>
    </row>
    <row r="17" spans="1:18">
      <c r="A17" s="15" t="s">
        <v>359</v>
      </c>
      <c r="B17" s="17" t="n">
        <v>3197</v>
      </c>
      <c r="C17" s="18">
        <f>(2821.0/B17*100)</f>
        <v/>
      </c>
      <c r="D17" s="19" t="n">
        <v>376</v>
      </c>
      <c r="E17" s="18" t="n">
        <v>47.83981858</v>
      </c>
      <c r="F17" s="20" t="n">
        <v>2.82813157</v>
      </c>
      <c r="G17" s="18" t="n">
        <v>36.78000623</v>
      </c>
      <c r="H17" s="20" t="n">
        <v>2.55353048</v>
      </c>
      <c r="I17" s="18" t="s">
        <v>349</v>
      </c>
      <c r="J17" s="20" t="s">
        <v>349</v>
      </c>
      <c r="K17" s="18" t="n">
        <v>0</v>
      </c>
      <c r="L17" s="20" t="n">
        <v>0</v>
      </c>
      <c r="M17" s="18" t="n">
        <v>0</v>
      </c>
      <c r="N17" s="20" t="n">
        <v>0</v>
      </c>
      <c r="O17" s="18" t="n">
        <v>0</v>
      </c>
      <c r="P17" s="20" t="n">
        <v>0</v>
      </c>
      <c r="Q17" s="18" t="n">
        <v>15.38017519</v>
      </c>
      <c r="R17" s="20" t="n">
        <v>1.6820102</v>
      </c>
    </row>
    <row r="18" spans="1:18">
      <c r="A18" s="15" t="s">
        <v>360</v>
      </c>
      <c r="B18" s="17" t="n">
        <v>2706</v>
      </c>
      <c r="C18" s="18">
        <f>(2366.0/B18*100)</f>
        <v/>
      </c>
      <c r="D18" s="19" t="n">
        <v>340</v>
      </c>
      <c r="E18" s="18" t="n">
        <v>59.54135511</v>
      </c>
      <c r="F18" s="20" t="n">
        <v>2.77021732</v>
      </c>
      <c r="G18" s="18" t="n">
        <v>15.44588141</v>
      </c>
      <c r="H18" s="20" t="n">
        <v>2.10357716</v>
      </c>
      <c r="I18" s="18" t="s">
        <v>349</v>
      </c>
      <c r="J18" s="20" t="s">
        <v>349</v>
      </c>
      <c r="K18" s="18" t="n">
        <v>1.27146623</v>
      </c>
      <c r="L18" s="20" t="n">
        <v>0.57558845</v>
      </c>
      <c r="M18" s="18" t="n">
        <v>0</v>
      </c>
      <c r="N18" s="20" t="n">
        <v>0</v>
      </c>
      <c r="O18" s="18" t="n">
        <v>0</v>
      </c>
      <c r="P18" s="20" t="n">
        <v>0</v>
      </c>
      <c r="Q18" s="18" t="n">
        <v>23.74129726</v>
      </c>
      <c r="R18" s="20" t="n">
        <v>2.37368896</v>
      </c>
    </row>
    <row r="19" spans="1:18">
      <c r="A19" s="15" t="s">
        <v>361</v>
      </c>
      <c r="B19" s="17" t="n">
        <v>2850</v>
      </c>
      <c r="C19" s="18">
        <f>(2493.0/B19*100)</f>
        <v/>
      </c>
      <c r="D19" s="19" t="n">
        <v>357</v>
      </c>
      <c r="E19" s="18" t="n">
        <v>53.37225783</v>
      </c>
      <c r="F19" s="20" t="n">
        <v>2.79651556</v>
      </c>
      <c r="G19" s="18" t="n">
        <v>27.77588909</v>
      </c>
      <c r="H19" s="20" t="n">
        <v>2.54686511</v>
      </c>
      <c r="I19" s="18" t="s">
        <v>349</v>
      </c>
      <c r="J19" s="20" t="s">
        <v>349</v>
      </c>
      <c r="K19" s="18" t="n">
        <v>0.55507796</v>
      </c>
      <c r="L19" s="20" t="n">
        <v>0.39062256</v>
      </c>
      <c r="M19" s="18" t="n">
        <v>0</v>
      </c>
      <c r="N19" s="20" t="n">
        <v>0</v>
      </c>
      <c r="O19" s="18" t="n">
        <v>0</v>
      </c>
      <c r="P19" s="20" t="n">
        <v>0</v>
      </c>
      <c r="Q19" s="18" t="n">
        <v>18.29677512</v>
      </c>
      <c r="R19" s="20" t="n">
        <v>2.46132589</v>
      </c>
    </row>
    <row r="20" spans="1:18">
      <c r="A20" s="15" t="s">
        <v>362</v>
      </c>
      <c r="B20" s="17" t="n">
        <v>1741</v>
      </c>
      <c r="C20" s="18">
        <f>(1536.0/B20*100)</f>
        <v/>
      </c>
      <c r="D20" s="19" t="n">
        <v>205</v>
      </c>
      <c r="E20" s="18" t="n">
        <v>56.16889576</v>
      </c>
      <c r="F20" s="20" t="n">
        <v>3.09441833</v>
      </c>
      <c r="G20" s="18" t="n">
        <v>28.07965947</v>
      </c>
      <c r="H20" s="20" t="n">
        <v>2.81671093</v>
      </c>
      <c r="I20" s="18" t="s">
        <v>349</v>
      </c>
      <c r="J20" s="20" t="s">
        <v>349</v>
      </c>
      <c r="K20" s="18" t="n">
        <v>0.94457937</v>
      </c>
      <c r="L20" s="20" t="n">
        <v>0.67327989</v>
      </c>
      <c r="M20" s="18" t="n">
        <v>0</v>
      </c>
      <c r="N20" s="20" t="n">
        <v>0</v>
      </c>
      <c r="O20" s="18" t="n">
        <v>0</v>
      </c>
      <c r="P20" s="20" t="n">
        <v>0</v>
      </c>
      <c r="Q20" s="18" t="n">
        <v>14.8068654</v>
      </c>
      <c r="R20" s="20" t="n">
        <v>2.4741653</v>
      </c>
    </row>
    <row r="21" spans="1:18">
      <c r="A21" s="15" t="s">
        <v>363</v>
      </c>
      <c r="B21" s="17" t="n">
        <v>2833</v>
      </c>
      <c r="C21" s="18">
        <f>(2360.0/B21*100)</f>
        <v/>
      </c>
      <c r="D21" s="19" t="n">
        <v>473</v>
      </c>
      <c r="E21" s="18" t="n">
        <v>53.16859439</v>
      </c>
      <c r="F21" s="20" t="n">
        <v>2.53354467</v>
      </c>
      <c r="G21" s="18" t="n">
        <v>32.57015813</v>
      </c>
      <c r="H21" s="20" t="n">
        <v>2.46434702</v>
      </c>
      <c r="I21" s="18" t="s">
        <v>349</v>
      </c>
      <c r="J21" s="20" t="s">
        <v>349</v>
      </c>
      <c r="K21" s="18" t="n">
        <v>0</v>
      </c>
      <c r="L21" s="20" t="n">
        <v>0</v>
      </c>
      <c r="M21" s="18" t="n">
        <v>0</v>
      </c>
      <c r="N21" s="20" t="n">
        <v>0</v>
      </c>
      <c r="O21" s="18" t="n">
        <v>0</v>
      </c>
      <c r="P21" s="20" t="n">
        <v>0</v>
      </c>
      <c r="Q21" s="18" t="n">
        <v>14.26124748</v>
      </c>
      <c r="R21" s="20" t="n">
        <v>1.60549713</v>
      </c>
    </row>
    <row r="22" spans="1:18">
      <c r="A22" s="15" t="s">
        <v>364</v>
      </c>
      <c r="B22" s="17" t="n">
        <v>3667</v>
      </c>
      <c r="C22" s="18">
        <f>(3206.0/B22*100)</f>
        <v/>
      </c>
      <c r="D22" s="19" t="n">
        <v>461</v>
      </c>
      <c r="E22" s="18" t="n">
        <v>45.72426049</v>
      </c>
      <c r="F22" s="20" t="n">
        <v>2.43612263</v>
      </c>
      <c r="G22" s="18" t="n">
        <v>34.56415936</v>
      </c>
      <c r="H22" s="20" t="n">
        <v>2.10535968</v>
      </c>
      <c r="I22" s="18" t="s">
        <v>349</v>
      </c>
      <c r="J22" s="20" t="s">
        <v>349</v>
      </c>
      <c r="K22" s="18" t="n">
        <v>0.7745111</v>
      </c>
      <c r="L22" s="20" t="n">
        <v>0.38733089</v>
      </c>
      <c r="M22" s="18" t="n">
        <v>0</v>
      </c>
      <c r="N22" s="20" t="n">
        <v>0</v>
      </c>
      <c r="O22" s="18" t="n">
        <v>0</v>
      </c>
      <c r="P22" s="20" t="n">
        <v>0</v>
      </c>
      <c r="Q22" s="18" t="n">
        <v>18.93706905</v>
      </c>
      <c r="R22" s="20" t="n">
        <v>2.0279927</v>
      </c>
    </row>
    <row r="23" spans="1:18">
      <c r="A23" s="15" t="s">
        <v>365</v>
      </c>
      <c r="B23" s="17" t="n">
        <v>5792</v>
      </c>
      <c r="C23" s="18">
        <f>(5097.0/B23*100)</f>
        <v/>
      </c>
      <c r="D23" s="19" t="n">
        <v>695</v>
      </c>
      <c r="E23" s="18" t="n">
        <v>43.48834228</v>
      </c>
      <c r="F23" s="20" t="n">
        <v>2.32215467</v>
      </c>
      <c r="G23" s="18" t="n">
        <v>25.64424648</v>
      </c>
      <c r="H23" s="20" t="n">
        <v>2.38090934</v>
      </c>
      <c r="I23" s="18" t="s">
        <v>349</v>
      </c>
      <c r="J23" s="20" t="s">
        <v>349</v>
      </c>
      <c r="K23" s="18" t="n">
        <v>0.5333167</v>
      </c>
      <c r="L23" s="20" t="n">
        <v>0.32201444</v>
      </c>
      <c r="M23" s="18" t="n">
        <v>0</v>
      </c>
      <c r="N23" s="20" t="n">
        <v>0</v>
      </c>
      <c r="O23" s="18" t="n">
        <v>0</v>
      </c>
      <c r="P23" s="20" t="n">
        <v>0</v>
      </c>
      <c r="Q23" s="18" t="n">
        <v>30.33409454</v>
      </c>
      <c r="R23" s="20" t="n">
        <v>2.29245118</v>
      </c>
    </row>
    <row r="24" spans="1:18">
      <c r="A24" s="15" t="s">
        <v>366</v>
      </c>
      <c r="B24" s="17" t="n">
        <v>3309</v>
      </c>
      <c r="C24" s="18">
        <f>(2903.0/B24*100)</f>
        <v/>
      </c>
      <c r="D24" s="19" t="n">
        <v>406</v>
      </c>
      <c r="E24" s="18" t="n">
        <v>80.80934929999999</v>
      </c>
      <c r="F24" s="20" t="n">
        <v>2.06706863</v>
      </c>
      <c r="G24" s="18" t="n">
        <v>9.17906311</v>
      </c>
      <c r="H24" s="20" t="n">
        <v>1.55390686</v>
      </c>
      <c r="I24" s="18" t="s">
        <v>349</v>
      </c>
      <c r="J24" s="20" t="s">
        <v>349</v>
      </c>
      <c r="K24" s="18" t="n">
        <v>0</v>
      </c>
      <c r="L24" s="20" t="n">
        <v>0</v>
      </c>
      <c r="M24" s="18" t="n">
        <v>0</v>
      </c>
      <c r="N24" s="20" t="n">
        <v>0</v>
      </c>
      <c r="O24" s="18" t="n">
        <v>0</v>
      </c>
      <c r="P24" s="20" t="n">
        <v>0</v>
      </c>
      <c r="Q24" s="18" t="n">
        <v>10.01158759</v>
      </c>
      <c r="R24" s="20" t="n">
        <v>1.49096222</v>
      </c>
    </row>
    <row r="25" spans="1:18">
      <c r="A25" s="15" t="s">
        <v>367</v>
      </c>
      <c r="B25" s="17" t="n">
        <v>2669</v>
      </c>
      <c r="C25" s="18">
        <f>(2330.0/B25*100)</f>
        <v/>
      </c>
      <c r="D25" s="19" t="n">
        <v>339</v>
      </c>
      <c r="E25" s="18" t="n">
        <v>76.22925269</v>
      </c>
      <c r="F25" s="20" t="n">
        <v>2.54145311</v>
      </c>
      <c r="G25" s="18" t="n">
        <v>9.13145607</v>
      </c>
      <c r="H25" s="20" t="n">
        <v>1.50788331</v>
      </c>
      <c r="I25" s="18" t="s">
        <v>349</v>
      </c>
      <c r="J25" s="20" t="s">
        <v>349</v>
      </c>
      <c r="K25" s="18" t="n">
        <v>0.30639674</v>
      </c>
      <c r="L25" s="20" t="n">
        <v>0.30463023</v>
      </c>
      <c r="M25" s="18" t="n">
        <v>0</v>
      </c>
      <c r="N25" s="20" t="n">
        <v>0</v>
      </c>
      <c r="O25" s="18" t="n">
        <v>0</v>
      </c>
      <c r="P25" s="20" t="n">
        <v>0</v>
      </c>
      <c r="Q25" s="18" t="n">
        <v>14.33289451</v>
      </c>
      <c r="R25" s="20" t="n">
        <v>1.7941566</v>
      </c>
    </row>
    <row r="26" spans="1:18">
      <c r="A26" s="15" t="s">
        <v>368</v>
      </c>
      <c r="B26" s="17" t="n">
        <v>2419</v>
      </c>
      <c r="C26" s="18">
        <f>(2131.0/B26*100)</f>
        <v/>
      </c>
      <c r="D26" s="19" t="n">
        <v>288</v>
      </c>
      <c r="E26" s="18" t="n">
        <v>57.46036085</v>
      </c>
      <c r="F26" s="20" t="n">
        <v>3.05779144</v>
      </c>
      <c r="G26" s="18" t="n">
        <v>28.82223664</v>
      </c>
      <c r="H26" s="20" t="n">
        <v>3.01437941</v>
      </c>
      <c r="I26" s="18" t="s">
        <v>349</v>
      </c>
      <c r="J26" s="20" t="s">
        <v>349</v>
      </c>
      <c r="K26" s="18" t="n">
        <v>0.54204292</v>
      </c>
      <c r="L26" s="20" t="n">
        <v>0.38922643</v>
      </c>
      <c r="M26" s="18" t="n">
        <v>0</v>
      </c>
      <c r="N26" s="20" t="n">
        <v>0</v>
      </c>
      <c r="O26" s="18" t="n">
        <v>0</v>
      </c>
      <c r="P26" s="20" t="n">
        <v>0</v>
      </c>
      <c r="Q26" s="18" t="n">
        <v>13.17535959</v>
      </c>
      <c r="R26" s="20" t="n">
        <v>1.99845044</v>
      </c>
    </row>
    <row r="27" spans="1:18">
      <c r="A27" s="15" t="s">
        <v>369</v>
      </c>
      <c r="B27" s="17" t="n">
        <v>2683</v>
      </c>
      <c r="C27" s="18">
        <f>(2359.0/B27*100)</f>
        <v/>
      </c>
      <c r="D27" s="19" t="n">
        <v>324</v>
      </c>
      <c r="E27" s="18" t="n">
        <v>52.51636461</v>
      </c>
      <c r="F27" s="20" t="n">
        <v>2.92857558</v>
      </c>
      <c r="G27" s="18" t="n">
        <v>28.19968218</v>
      </c>
      <c r="H27" s="20" t="n">
        <v>2.71956322</v>
      </c>
      <c r="I27" s="18" t="s">
        <v>349</v>
      </c>
      <c r="J27" s="20" t="s">
        <v>349</v>
      </c>
      <c r="K27" s="18" t="n">
        <v>0.30250185</v>
      </c>
      <c r="L27" s="20" t="n">
        <v>0.3056348</v>
      </c>
      <c r="M27" s="18" t="n">
        <v>0</v>
      </c>
      <c r="N27" s="20" t="n">
        <v>0</v>
      </c>
      <c r="O27" s="18" t="n">
        <v>0</v>
      </c>
      <c r="P27" s="20" t="n">
        <v>0</v>
      </c>
      <c r="Q27" s="18" t="n">
        <v>18.98145136</v>
      </c>
      <c r="R27" s="20" t="n">
        <v>2.03580083</v>
      </c>
    </row>
    <row r="28" spans="1:18">
      <c r="A28" s="15" t="s">
        <v>370</v>
      </c>
      <c r="B28" s="17" t="n">
        <v>3803</v>
      </c>
      <c r="C28" s="18">
        <f>(3377.0/B28*100)</f>
        <v/>
      </c>
      <c r="D28" s="19" t="n">
        <v>426</v>
      </c>
      <c r="E28" s="18" t="n">
        <v>66.88665684999999</v>
      </c>
      <c r="F28" s="20" t="n">
        <v>2.56539905</v>
      </c>
      <c r="G28" s="18" t="n">
        <v>19.4264999</v>
      </c>
      <c r="H28" s="20" t="n">
        <v>1.8712677</v>
      </c>
      <c r="I28" s="18" t="s">
        <v>349</v>
      </c>
      <c r="J28" s="20" t="s">
        <v>349</v>
      </c>
      <c r="K28" s="18" t="n">
        <v>0.73923311</v>
      </c>
      <c r="L28" s="20" t="n">
        <v>0.49726338</v>
      </c>
      <c r="M28" s="18" t="n">
        <v>0</v>
      </c>
      <c r="N28" s="20" t="n">
        <v>0</v>
      </c>
      <c r="O28" s="18" t="n">
        <v>0</v>
      </c>
      <c r="P28" s="20" t="n">
        <v>0</v>
      </c>
      <c r="Q28" s="18" t="n">
        <v>12.94761013</v>
      </c>
      <c r="R28" s="20" t="n">
        <v>1.79779636</v>
      </c>
    </row>
    <row r="29" spans="1:18">
      <c r="A29" s="15" t="s">
        <v>371</v>
      </c>
      <c r="B29" s="17" t="n">
        <v>2700</v>
      </c>
      <c r="C29" s="18">
        <f>(2358.0/B29*100)</f>
        <v/>
      </c>
      <c r="D29" s="19" t="n">
        <v>342</v>
      </c>
      <c r="E29" s="18" t="n">
        <v>56.48789836</v>
      </c>
      <c r="F29" s="20" t="n">
        <v>2.76659181</v>
      </c>
      <c r="G29" s="18" t="n">
        <v>35.30323545</v>
      </c>
      <c r="H29" s="20" t="n">
        <v>2.49689186</v>
      </c>
      <c r="I29" s="18" t="s">
        <v>349</v>
      </c>
      <c r="J29" s="20" t="s">
        <v>349</v>
      </c>
      <c r="K29" s="18" t="n">
        <v>0.63745782</v>
      </c>
      <c r="L29" s="20" t="n">
        <v>0.39661983</v>
      </c>
      <c r="M29" s="18" t="n">
        <v>0</v>
      </c>
      <c r="N29" s="20" t="n">
        <v>0</v>
      </c>
      <c r="O29" s="18" t="n">
        <v>0</v>
      </c>
      <c r="P29" s="20" t="n">
        <v>0</v>
      </c>
      <c r="Q29" s="18" t="n">
        <v>7.57140837</v>
      </c>
      <c r="R29" s="20" t="n">
        <v>1.64699327</v>
      </c>
    </row>
    <row r="30" spans="1:18">
      <c r="A30" s="15" t="s">
        <v>372</v>
      </c>
      <c r="B30" s="17" t="n">
        <v>2257</v>
      </c>
      <c r="C30" s="18">
        <f>(1976.0/B30*100)</f>
        <v/>
      </c>
      <c r="D30" s="19" t="n">
        <v>281</v>
      </c>
      <c r="E30" s="18" t="n">
        <v>50.22106771</v>
      </c>
      <c r="F30" s="20" t="n">
        <v>3.16586565</v>
      </c>
      <c r="G30" s="18" t="n">
        <v>28.22438094</v>
      </c>
      <c r="H30" s="20" t="n">
        <v>3.0507036</v>
      </c>
      <c r="I30" s="18" t="s">
        <v>349</v>
      </c>
      <c r="J30" s="20" t="s">
        <v>349</v>
      </c>
      <c r="K30" s="18" t="n">
        <v>0</v>
      </c>
      <c r="L30" s="20" t="n">
        <v>0</v>
      </c>
      <c r="M30" s="18" t="n">
        <v>0</v>
      </c>
      <c r="N30" s="20" t="n">
        <v>0</v>
      </c>
      <c r="O30" s="18" t="n">
        <v>0</v>
      </c>
      <c r="P30" s="20" t="n">
        <v>0</v>
      </c>
      <c r="Q30" s="18" t="n">
        <v>21.55455135</v>
      </c>
      <c r="R30" s="20" t="n">
        <v>2.41175233</v>
      </c>
    </row>
    <row r="31" spans="1:18">
      <c r="A31" s="15" t="s">
        <v>373</v>
      </c>
      <c r="B31" s="17" t="n">
        <v>2706</v>
      </c>
      <c r="C31" s="18">
        <f>(2389.0/B31*100)</f>
        <v/>
      </c>
      <c r="D31" s="19" t="n">
        <v>317</v>
      </c>
      <c r="E31" s="18" t="n">
        <v>51.28220053</v>
      </c>
      <c r="F31" s="20" t="n">
        <v>2.94517714</v>
      </c>
      <c r="G31" s="18" t="n">
        <v>32.52013284</v>
      </c>
      <c r="H31" s="20" t="n">
        <v>2.49588854</v>
      </c>
      <c r="I31" s="18" t="s">
        <v>349</v>
      </c>
      <c r="J31" s="20" t="s">
        <v>349</v>
      </c>
      <c r="K31" s="18" t="n">
        <v>0.95130377</v>
      </c>
      <c r="L31" s="20" t="n">
        <v>0.55325727</v>
      </c>
      <c r="M31" s="18" t="n">
        <v>0</v>
      </c>
      <c r="N31" s="20" t="n">
        <v>0</v>
      </c>
      <c r="O31" s="18" t="n">
        <v>0</v>
      </c>
      <c r="P31" s="20" t="n">
        <v>0</v>
      </c>
      <c r="Q31" s="18" t="n">
        <v>15.24636285</v>
      </c>
      <c r="R31" s="20" t="n">
        <v>1.89096794</v>
      </c>
    </row>
    <row r="32" spans="1:18">
      <c r="A32" s="15" t="s">
        <v>374</v>
      </c>
      <c r="B32" s="17" t="n">
        <v>2209</v>
      </c>
      <c r="C32" s="18">
        <f>(1840.0/B32*100)</f>
        <v/>
      </c>
      <c r="D32" s="19" t="n">
        <v>369</v>
      </c>
      <c r="E32" s="18" t="n">
        <v>54.26384637</v>
      </c>
      <c r="F32" s="20" t="n">
        <v>2.64486284</v>
      </c>
      <c r="G32" s="18" t="n">
        <v>32.46929355</v>
      </c>
      <c r="H32" s="20" t="n">
        <v>2.22093139</v>
      </c>
      <c r="I32" s="18" t="s">
        <v>349</v>
      </c>
      <c r="J32" s="20" t="s">
        <v>349</v>
      </c>
      <c r="K32" s="18" t="n">
        <v>0.25736339</v>
      </c>
      <c r="L32" s="20" t="n">
        <v>0.26961788</v>
      </c>
      <c r="M32" s="18" t="n">
        <v>0</v>
      </c>
      <c r="N32" s="20" t="n">
        <v>0</v>
      </c>
      <c r="O32" s="18" t="n">
        <v>0</v>
      </c>
      <c r="P32" s="20" t="n">
        <v>0</v>
      </c>
      <c r="Q32" s="18" t="n">
        <v>13.00949669</v>
      </c>
      <c r="R32" s="20" t="n">
        <v>1.685256</v>
      </c>
    </row>
    <row r="33" spans="1:18">
      <c r="A33" s="15" t="s">
        <v>375</v>
      </c>
      <c r="B33" s="17" t="n">
        <v>3651</v>
      </c>
      <c r="C33" s="18">
        <f>(3216.0/B33*100)</f>
        <v/>
      </c>
      <c r="D33" s="19" t="n">
        <v>435</v>
      </c>
      <c r="E33" s="18" t="n">
        <v>41.08728323</v>
      </c>
      <c r="F33" s="20" t="n">
        <v>2.82224517</v>
      </c>
      <c r="G33" s="18" t="n">
        <v>35.59683732</v>
      </c>
      <c r="H33" s="20" t="n">
        <v>2.55412069</v>
      </c>
      <c r="I33" s="18" t="s">
        <v>349</v>
      </c>
      <c r="J33" s="20" t="s">
        <v>349</v>
      </c>
      <c r="K33" s="18" t="n">
        <v>0.09354672</v>
      </c>
      <c r="L33" s="20" t="n">
        <v>0.07112684</v>
      </c>
      <c r="M33" s="18" t="n">
        <v>0</v>
      </c>
      <c r="N33" s="20" t="n">
        <v>0</v>
      </c>
      <c r="O33" s="18" t="n">
        <v>0</v>
      </c>
      <c r="P33" s="20" t="n">
        <v>0</v>
      </c>
      <c r="Q33" s="18" t="n">
        <v>23.22233273</v>
      </c>
      <c r="R33" s="20" t="n">
        <v>2.43438914</v>
      </c>
    </row>
    <row r="34" spans="1:18">
      <c r="A34" s="15" t="s">
        <v>376</v>
      </c>
      <c r="B34" s="17" t="n">
        <v>3035</v>
      </c>
      <c r="C34" s="18">
        <f>(2671.0/B34*100)</f>
        <v/>
      </c>
      <c r="D34" s="19" t="n">
        <v>364</v>
      </c>
      <c r="E34" s="18" t="n">
        <v>55.51844797</v>
      </c>
      <c r="F34" s="20" t="n">
        <v>2.46394894</v>
      </c>
      <c r="G34" s="18" t="n">
        <v>26.52564964</v>
      </c>
      <c r="H34" s="20" t="n">
        <v>2.25691389</v>
      </c>
      <c r="I34" s="18" t="s">
        <v>349</v>
      </c>
      <c r="J34" s="20" t="s">
        <v>349</v>
      </c>
      <c r="K34" s="18" t="n">
        <v>0</v>
      </c>
      <c r="L34" s="20" t="n">
        <v>0</v>
      </c>
      <c r="M34" s="18" t="n">
        <v>0</v>
      </c>
      <c r="N34" s="20" t="n">
        <v>0</v>
      </c>
      <c r="O34" s="18" t="n">
        <v>0</v>
      </c>
      <c r="P34" s="20" t="n">
        <v>0</v>
      </c>
      <c r="Q34" s="18" t="n">
        <v>17.95590239</v>
      </c>
      <c r="R34" s="20" t="n">
        <v>2.19031631</v>
      </c>
    </row>
    <row r="35" spans="1:18">
      <c r="A35" s="15" t="s">
        <v>377</v>
      </c>
      <c r="B35" s="17" t="n">
        <v>2901</v>
      </c>
      <c r="C35" s="18">
        <f>(2521.0/B35*100)</f>
        <v/>
      </c>
      <c r="D35" s="19" t="n">
        <v>380</v>
      </c>
      <c r="E35" s="18" t="n">
        <v>49.05455885</v>
      </c>
      <c r="F35" s="20" t="n">
        <v>3.41426192</v>
      </c>
      <c r="G35" s="18" t="n">
        <v>35.83177623</v>
      </c>
      <c r="H35" s="20" t="n">
        <v>3.18230593</v>
      </c>
      <c r="I35" s="18" t="s">
        <v>349</v>
      </c>
      <c r="J35" s="20" t="s">
        <v>349</v>
      </c>
      <c r="K35" s="18" t="n">
        <v>0.19942994</v>
      </c>
      <c r="L35" s="20" t="n">
        <v>0.1427746</v>
      </c>
      <c r="M35" s="18" t="n">
        <v>0</v>
      </c>
      <c r="N35" s="20" t="n">
        <v>0</v>
      </c>
      <c r="O35" s="18" t="n">
        <v>0</v>
      </c>
      <c r="P35" s="20" t="n">
        <v>0</v>
      </c>
      <c r="Q35" s="18" t="n">
        <v>14.91423498</v>
      </c>
      <c r="R35" s="20" t="n">
        <v>2.14427449</v>
      </c>
    </row>
    <row r="36" spans="1:18">
      <c r="A36" s="15" t="s">
        <v>378</v>
      </c>
      <c r="B36" s="17" t="n">
        <v>3404</v>
      </c>
      <c r="C36" s="18">
        <f>(2985.0/B36*100)</f>
        <v/>
      </c>
      <c r="D36" s="19" t="n">
        <v>419</v>
      </c>
      <c r="E36" s="18" t="n">
        <v>46.0267262</v>
      </c>
      <c r="F36" s="20" t="n">
        <v>2.62957249</v>
      </c>
      <c r="G36" s="18" t="n">
        <v>30.72885323</v>
      </c>
      <c r="H36" s="20" t="n">
        <v>2.2437062</v>
      </c>
      <c r="I36" s="18" t="s">
        <v>349</v>
      </c>
      <c r="J36" s="20" t="s">
        <v>349</v>
      </c>
      <c r="K36" s="18" t="n">
        <v>0.39207728</v>
      </c>
      <c r="L36" s="20" t="n">
        <v>0.34992064</v>
      </c>
      <c r="M36" s="18" t="n">
        <v>0</v>
      </c>
      <c r="N36" s="20" t="n">
        <v>0</v>
      </c>
      <c r="O36" s="18" t="n">
        <v>0</v>
      </c>
      <c r="P36" s="20" t="n">
        <v>0</v>
      </c>
      <c r="Q36" s="18" t="n">
        <v>22.85234329</v>
      </c>
      <c r="R36" s="20" t="n">
        <v>2.11166496</v>
      </c>
    </row>
    <row r="37" spans="1:18">
      <c r="A37" s="15" t="s">
        <v>379</v>
      </c>
      <c r="B37" s="17" t="n">
        <v>2731</v>
      </c>
      <c r="C37" s="18">
        <f>(2393.0/B37*100)</f>
        <v/>
      </c>
      <c r="D37" s="19" t="n">
        <v>338</v>
      </c>
      <c r="E37" s="18" t="n">
        <v>46.71643292</v>
      </c>
      <c r="F37" s="20" t="n">
        <v>3.08227553</v>
      </c>
      <c r="G37" s="18" t="n">
        <v>40.11680291</v>
      </c>
      <c r="H37" s="20" t="n">
        <v>3.3013261</v>
      </c>
      <c r="I37" s="18" t="s">
        <v>349</v>
      </c>
      <c r="J37" s="20" t="s">
        <v>349</v>
      </c>
      <c r="K37" s="18" t="n">
        <v>0.53979548</v>
      </c>
      <c r="L37" s="20" t="n">
        <v>0.38332353</v>
      </c>
      <c r="M37" s="18" t="n">
        <v>0</v>
      </c>
      <c r="N37" s="20" t="n">
        <v>0</v>
      </c>
      <c r="O37" s="18" t="n">
        <v>0</v>
      </c>
      <c r="P37" s="20" t="n">
        <v>0</v>
      </c>
      <c r="Q37" s="18" t="n">
        <v>12.6269687</v>
      </c>
      <c r="R37" s="20" t="n">
        <v>1.97527574</v>
      </c>
    </row>
    <row r="38" spans="1:18">
      <c r="A38" s="15" t="s">
        <v>380</v>
      </c>
      <c r="B38" s="17" t="n">
        <v>2807</v>
      </c>
      <c r="C38" s="18">
        <f>(2327.0/B38*100)</f>
        <v/>
      </c>
      <c r="D38" s="19" t="n">
        <v>480</v>
      </c>
      <c r="E38" s="18" t="n">
        <v>53.356166</v>
      </c>
      <c r="F38" s="20" t="n">
        <v>2.72606665</v>
      </c>
      <c r="G38" s="18" t="n">
        <v>32.03270477</v>
      </c>
      <c r="H38" s="20" t="n">
        <v>2.40175755</v>
      </c>
      <c r="I38" s="18" t="s">
        <v>349</v>
      </c>
      <c r="J38" s="20" t="s">
        <v>349</v>
      </c>
      <c r="K38" s="18" t="n">
        <v>0.46936252</v>
      </c>
      <c r="L38" s="20" t="n">
        <v>0.29467539</v>
      </c>
      <c r="M38" s="18" t="n">
        <v>0</v>
      </c>
      <c r="N38" s="20" t="n">
        <v>0</v>
      </c>
      <c r="O38" s="18" t="n">
        <v>0</v>
      </c>
      <c r="P38" s="20" t="n">
        <v>0</v>
      </c>
      <c r="Q38" s="18" t="n">
        <v>14.14176671</v>
      </c>
      <c r="R38" s="20" t="n">
        <v>2.17668103</v>
      </c>
    </row>
    <row r="39" spans="1:18">
      <c r="A39" s="15" t="s">
        <v>381</v>
      </c>
      <c r="B39" s="17" t="n">
        <v>2938</v>
      </c>
      <c r="C39" s="18">
        <f>(2601.0/B39*100)</f>
        <v/>
      </c>
      <c r="D39" s="19" t="n">
        <v>337</v>
      </c>
      <c r="E39" s="18" t="n">
        <v>63.50636695</v>
      </c>
      <c r="F39" s="20" t="n">
        <v>2.97898082</v>
      </c>
      <c r="G39" s="18" t="n">
        <v>20.62273355</v>
      </c>
      <c r="H39" s="20" t="n">
        <v>2.80242724</v>
      </c>
      <c r="I39" s="18" t="s">
        <v>349</v>
      </c>
      <c r="J39" s="20" t="s">
        <v>349</v>
      </c>
      <c r="K39" s="18" t="n">
        <v>1.25801483</v>
      </c>
      <c r="L39" s="20" t="n">
        <v>0.60979012</v>
      </c>
      <c r="M39" s="18" t="n">
        <v>0</v>
      </c>
      <c r="N39" s="20" t="n">
        <v>0</v>
      </c>
      <c r="O39" s="18" t="n">
        <v>0</v>
      </c>
      <c r="P39" s="20" t="n">
        <v>0</v>
      </c>
      <c r="Q39" s="18" t="n">
        <v>14.61288467</v>
      </c>
      <c r="R39" s="20" t="n">
        <v>1.98324016</v>
      </c>
    </row>
    <row r="40" spans="1:18">
      <c r="A40" s="15" t="s">
        <v>382</v>
      </c>
      <c r="B40" s="17" t="n">
        <v>6922</v>
      </c>
      <c r="C40" s="18">
        <f>(6094.0/B40*100)</f>
        <v/>
      </c>
      <c r="D40" s="19" t="n">
        <v>828</v>
      </c>
      <c r="E40" s="18" t="n">
        <v>48.4381766</v>
      </c>
      <c r="F40" s="20" t="n">
        <v>3.10685096</v>
      </c>
      <c r="G40" s="18" t="n">
        <v>31.51275297</v>
      </c>
      <c r="H40" s="20" t="n">
        <v>2.74804358</v>
      </c>
      <c r="I40" s="18" t="s">
        <v>349</v>
      </c>
      <c r="J40" s="20" t="s">
        <v>349</v>
      </c>
      <c r="K40" s="18" t="n">
        <v>0.01913703</v>
      </c>
      <c r="L40" s="20" t="n">
        <v>0.01976984</v>
      </c>
      <c r="M40" s="18" t="n">
        <v>0</v>
      </c>
      <c r="N40" s="20" t="n">
        <v>0</v>
      </c>
      <c r="O40" s="18" t="n">
        <v>0</v>
      </c>
      <c r="P40" s="20" t="n">
        <v>0</v>
      </c>
      <c r="Q40" s="18" t="n">
        <v>20.0299334</v>
      </c>
      <c r="R40" s="20" t="n">
        <v>2.19576032</v>
      </c>
    </row>
    <row r="41" spans="1:18">
      <c r="A41" s="15" t="s">
        <v>383</v>
      </c>
      <c r="B41" s="17" t="n">
        <v>2854</v>
      </c>
      <c r="C41" s="18">
        <f>(2511.0/B41*100)</f>
        <v/>
      </c>
      <c r="D41" s="19" t="n">
        <v>343</v>
      </c>
      <c r="E41" s="18" t="n">
        <v>66.43328284</v>
      </c>
      <c r="F41" s="20" t="n">
        <v>2.81432828</v>
      </c>
      <c r="G41" s="18" t="n">
        <v>23.76926093</v>
      </c>
      <c r="H41" s="20" t="n">
        <v>2.35866331</v>
      </c>
      <c r="I41" s="18" t="s">
        <v>349</v>
      </c>
      <c r="J41" s="20" t="s">
        <v>349</v>
      </c>
      <c r="K41" s="18" t="n">
        <v>0</v>
      </c>
      <c r="L41" s="20" t="n">
        <v>0</v>
      </c>
      <c r="M41" s="18" t="n">
        <v>0</v>
      </c>
      <c r="N41" s="20" t="n">
        <v>0</v>
      </c>
      <c r="O41" s="18" t="n">
        <v>0</v>
      </c>
      <c r="P41" s="20" t="n">
        <v>0</v>
      </c>
      <c r="Q41" s="18" t="n">
        <v>9.79745623</v>
      </c>
      <c r="R41" s="20" t="n">
        <v>1.74326786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(10856.0/B46*100)</f>
        <v/>
      </c>
      <c r="D46" s="19" t="n">
        <v>1217</v>
      </c>
      <c r="E46" s="18" t="n">
        <v>60.05759807</v>
      </c>
      <c r="F46" s="20" t="n">
        <v>1.98322654</v>
      </c>
      <c r="G46" s="18" t="n">
        <v>12.37169566</v>
      </c>
      <c r="H46" s="20" t="n">
        <v>1.44395932</v>
      </c>
      <c r="I46" s="18" t="s">
        <v>349</v>
      </c>
      <c r="J46" s="20" t="s">
        <v>349</v>
      </c>
      <c r="K46" s="18" t="n">
        <v>1.83132649</v>
      </c>
      <c r="L46" s="20" t="n">
        <v>0.51005954</v>
      </c>
      <c r="M46" s="18" t="n">
        <v>0</v>
      </c>
      <c r="N46" s="20" t="n">
        <v>0</v>
      </c>
      <c r="O46" s="18" t="n">
        <v>0</v>
      </c>
      <c r="P46" s="20" t="n">
        <v>0</v>
      </c>
      <c r="Q46" s="18" t="n">
        <v>25.73937978</v>
      </c>
      <c r="R46" s="20" t="n">
        <v>1.79093351</v>
      </c>
    </row>
    <row r="47" spans="1:18">
      <c r="A47" s="15" t="s">
        <v>389</v>
      </c>
      <c r="B47" s="17" t="n">
        <v>2823</v>
      </c>
      <c r="C47" s="18">
        <f>(2483.0/B47*100)</f>
        <v/>
      </c>
      <c r="D47" s="19" t="n">
        <v>340</v>
      </c>
      <c r="E47" s="18" t="n">
        <v>54.95870176</v>
      </c>
      <c r="F47" s="20" t="n">
        <v>2.60414451</v>
      </c>
      <c r="G47" s="18" t="n">
        <v>19.11070649</v>
      </c>
      <c r="H47" s="20" t="n">
        <v>2.19108695</v>
      </c>
      <c r="I47" s="18" t="s">
        <v>349</v>
      </c>
      <c r="J47" s="20" t="s">
        <v>349</v>
      </c>
      <c r="K47" s="18" t="n">
        <v>0.60854097</v>
      </c>
      <c r="L47" s="20" t="n">
        <v>0.39480471</v>
      </c>
      <c r="M47" s="18" t="n">
        <v>0</v>
      </c>
      <c r="N47" s="20" t="n">
        <v>0</v>
      </c>
      <c r="O47" s="18" t="n">
        <v>0</v>
      </c>
      <c r="P47" s="20" t="n">
        <v>0</v>
      </c>
      <c r="Q47" s="18" t="n">
        <v>25.32205078</v>
      </c>
      <c r="R47" s="20" t="n">
        <v>2.58360971</v>
      </c>
    </row>
    <row r="48" spans="1:18">
      <c r="A48" s="15" t="s">
        <v>390</v>
      </c>
      <c r="B48" s="17" t="n">
        <v>4682</v>
      </c>
      <c r="C48" s="18">
        <f>(4110.0/B48*100)</f>
        <v/>
      </c>
      <c r="D48" s="19" t="n">
        <v>572</v>
      </c>
      <c r="E48" s="18" t="n">
        <v>70.32571790999999</v>
      </c>
      <c r="F48" s="20" t="n">
        <v>3.75070814</v>
      </c>
      <c r="G48" s="18" t="n">
        <v>22.5009404</v>
      </c>
      <c r="H48" s="20" t="n">
        <v>3.66888506</v>
      </c>
      <c r="I48" s="18" t="s">
        <v>349</v>
      </c>
      <c r="J48" s="20" t="s">
        <v>349</v>
      </c>
      <c r="K48" s="18" t="n">
        <v>0.35022779</v>
      </c>
      <c r="L48" s="20" t="n">
        <v>0.33978762</v>
      </c>
      <c r="M48" s="18" t="n">
        <v>0</v>
      </c>
      <c r="N48" s="20" t="n">
        <v>0</v>
      </c>
      <c r="O48" s="18" t="n">
        <v>0</v>
      </c>
      <c r="P48" s="20" t="n">
        <v>0</v>
      </c>
      <c r="Q48" s="18" t="n">
        <v>6.82311391</v>
      </c>
      <c r="R48" s="20" t="n">
        <v>1.54865435</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(5450.0/B50*100)</f>
        <v/>
      </c>
      <c r="D50" s="19" t="n">
        <v>708</v>
      </c>
      <c r="E50" s="18" t="n">
        <v>68.30702653</v>
      </c>
      <c r="F50" s="20" t="n">
        <v>2.27671593</v>
      </c>
      <c r="G50" s="18" t="n">
        <v>19.33612476</v>
      </c>
      <c r="H50" s="20" t="n">
        <v>1.84790207</v>
      </c>
      <c r="I50" s="18" t="s">
        <v>349</v>
      </c>
      <c r="J50" s="20" t="s">
        <v>349</v>
      </c>
      <c r="K50" s="18" t="n">
        <v>2.4280642</v>
      </c>
      <c r="L50" s="20" t="n">
        <v>0.73005172</v>
      </c>
      <c r="M50" s="18" t="n">
        <v>0</v>
      </c>
      <c r="N50" s="20" t="n">
        <v>0</v>
      </c>
      <c r="O50" s="18" t="n">
        <v>0</v>
      </c>
      <c r="P50" s="20" t="n">
        <v>0</v>
      </c>
      <c r="Q50" s="18" t="n">
        <v>9.92878451</v>
      </c>
      <c r="R50" s="20" t="n">
        <v>1.4337433</v>
      </c>
    </row>
    <row r="51" spans="1:18">
      <c r="A51" s="15" t="s">
        <v>393</v>
      </c>
      <c r="B51" s="17" t="n">
        <v>3494</v>
      </c>
      <c r="C51" s="18">
        <f>(3137.0/B51*100)</f>
        <v/>
      </c>
      <c r="D51" s="19" t="n">
        <v>357</v>
      </c>
      <c r="E51" s="18" t="n">
        <v>66.14618615000001</v>
      </c>
      <c r="F51" s="20" t="n">
        <v>2.64963865</v>
      </c>
      <c r="G51" s="18" t="n">
        <v>15.70150215</v>
      </c>
      <c r="H51" s="20" t="n">
        <v>1.85969968</v>
      </c>
      <c r="I51" s="18" t="s">
        <v>349</v>
      </c>
      <c r="J51" s="20" t="s">
        <v>349</v>
      </c>
      <c r="K51" s="18" t="n">
        <v>0.54033882</v>
      </c>
      <c r="L51" s="20" t="n">
        <v>0.38597184</v>
      </c>
      <c r="M51" s="18" t="n">
        <v>0</v>
      </c>
      <c r="N51" s="20" t="n">
        <v>0</v>
      </c>
      <c r="O51" s="18" t="n">
        <v>0</v>
      </c>
      <c r="P51" s="20" t="n">
        <v>0</v>
      </c>
      <c r="Q51" s="18" t="n">
        <v>17.61197288</v>
      </c>
      <c r="R51" s="20" t="n">
        <v>2.1994062</v>
      </c>
    </row>
    <row r="52" spans="1:18">
      <c r="A52" s="15" t="s">
        <v>394</v>
      </c>
      <c r="B52" s="17" t="n">
        <v>3013</v>
      </c>
      <c r="C52" s="18">
        <f>(2653.0/B52*100)</f>
        <v/>
      </c>
      <c r="D52" s="19" t="n">
        <v>360</v>
      </c>
      <c r="E52" s="18" t="n">
        <v>50.59407628</v>
      </c>
      <c r="F52" s="20" t="n">
        <v>2.55920307</v>
      </c>
      <c r="G52" s="18" t="n">
        <v>21.31709877</v>
      </c>
      <c r="H52" s="20" t="n">
        <v>2.27745261</v>
      </c>
      <c r="I52" s="18" t="s">
        <v>349</v>
      </c>
      <c r="J52" s="20" t="s">
        <v>349</v>
      </c>
      <c r="K52" s="18" t="n">
        <v>0.29499475</v>
      </c>
      <c r="L52" s="20" t="n">
        <v>0.29652816</v>
      </c>
      <c r="M52" s="18" t="n">
        <v>0</v>
      </c>
      <c r="N52" s="20" t="n">
        <v>0</v>
      </c>
      <c r="O52" s="18" t="n">
        <v>0</v>
      </c>
      <c r="P52" s="20" t="n">
        <v>0</v>
      </c>
      <c r="Q52" s="18" t="n">
        <v>27.79383021</v>
      </c>
      <c r="R52" s="20" t="n">
        <v>2.65059877</v>
      </c>
    </row>
    <row r="53" spans="1:18">
      <c r="A53" s="15" t="s">
        <v>395</v>
      </c>
      <c r="B53" s="17" t="n">
        <v>2760</v>
      </c>
      <c r="C53" s="18">
        <f>(2433.0/B53*100)</f>
        <v/>
      </c>
      <c r="D53" s="19" t="n">
        <v>327</v>
      </c>
      <c r="E53" s="18" t="n">
        <v>60.55426088</v>
      </c>
      <c r="F53" s="20" t="n">
        <v>2.52694238</v>
      </c>
      <c r="G53" s="18" t="n">
        <v>18.19705332</v>
      </c>
      <c r="H53" s="20" t="n">
        <v>2.32623556</v>
      </c>
      <c r="I53" s="18" t="s">
        <v>349</v>
      </c>
      <c r="J53" s="20" t="s">
        <v>349</v>
      </c>
      <c r="K53" s="18" t="n">
        <v>0.26355</v>
      </c>
      <c r="L53" s="20" t="n">
        <v>0.25634907</v>
      </c>
      <c r="M53" s="18" t="n">
        <v>0</v>
      </c>
      <c r="N53" s="20" t="n">
        <v>0</v>
      </c>
      <c r="O53" s="18" t="n">
        <v>0</v>
      </c>
      <c r="P53" s="20" t="n">
        <v>0</v>
      </c>
      <c r="Q53" s="18" t="n">
        <v>20.9851358</v>
      </c>
      <c r="R53" s="20" t="n">
        <v>2.16564957</v>
      </c>
    </row>
    <row r="54" spans="1:18">
      <c r="A54" s="15" t="s">
        <v>396</v>
      </c>
      <c r="B54" s="17" t="n">
        <v>2474</v>
      </c>
      <c r="C54" s="18">
        <f>(2046.0/B54*100)</f>
        <v/>
      </c>
      <c r="D54" s="19" t="n">
        <v>428</v>
      </c>
      <c r="E54" s="18" t="n">
        <v>56.67754276</v>
      </c>
      <c r="F54" s="20" t="n">
        <v>2.35615346</v>
      </c>
      <c r="G54" s="18" t="n">
        <v>5.10688043</v>
      </c>
      <c r="H54" s="20" t="n">
        <v>0.9267373800000001</v>
      </c>
      <c r="I54" s="18" t="s">
        <v>349</v>
      </c>
      <c r="J54" s="20" t="s">
        <v>349</v>
      </c>
      <c r="K54" s="18" t="n">
        <v>12.45572471</v>
      </c>
      <c r="L54" s="20" t="n">
        <v>1.64783597</v>
      </c>
      <c r="M54" s="18" t="n">
        <v>0</v>
      </c>
      <c r="N54" s="20" t="n">
        <v>0</v>
      </c>
      <c r="O54" s="18" t="n">
        <v>0</v>
      </c>
      <c r="P54" s="20" t="n">
        <v>0</v>
      </c>
      <c r="Q54" s="18" t="n">
        <v>25.7598521</v>
      </c>
      <c r="R54" s="20" t="n">
        <v>2.21097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53.63744568</v>
      </c>
      <c r="F56" s="20" t="n">
        <v>2.56134532</v>
      </c>
      <c r="G56" s="18" t="n">
        <v>41.9092957</v>
      </c>
      <c r="H56" s="20" t="n">
        <v>3.02635358</v>
      </c>
      <c r="I56" s="18" t="s">
        <v>349</v>
      </c>
      <c r="J56" s="20" t="s">
        <v>349</v>
      </c>
      <c r="K56" s="18" t="n">
        <v>0</v>
      </c>
      <c r="L56" s="20" t="n">
        <v>0</v>
      </c>
      <c r="M56" s="18" t="n">
        <v>0</v>
      </c>
      <c r="N56" s="20" t="n">
        <v>0</v>
      </c>
      <c r="O56" s="18" t="n">
        <v>0</v>
      </c>
      <c r="P56" s="20" t="n">
        <v>0</v>
      </c>
      <c r="Q56" s="18" t="n">
        <v>4.45325861</v>
      </c>
      <c r="R56" s="20" t="n">
        <v>1.5073081</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(2791.0/B61*100)</f>
        <v/>
      </c>
      <c r="D61" s="19" t="n">
        <v>410</v>
      </c>
      <c r="E61" s="18" t="n">
        <v>49.10921175</v>
      </c>
      <c r="F61" s="20" t="n">
        <v>3.05138312</v>
      </c>
      <c r="G61" s="18" t="n">
        <v>30.64836372</v>
      </c>
      <c r="H61" s="20" t="n">
        <v>2.40580723</v>
      </c>
      <c r="I61" s="18" t="s">
        <v>349</v>
      </c>
      <c r="J61" s="20" t="s">
        <v>349</v>
      </c>
      <c r="K61" s="18" t="n">
        <v>0.71427224</v>
      </c>
      <c r="L61" s="20" t="n">
        <v>0.6961470400000001</v>
      </c>
      <c r="M61" s="18" t="n">
        <v>0</v>
      </c>
      <c r="N61" s="20" t="n">
        <v>0</v>
      </c>
      <c r="O61" s="18" t="n">
        <v>0</v>
      </c>
      <c r="P61" s="20" t="n">
        <v>0</v>
      </c>
      <c r="Q61" s="18" t="n">
        <v>19.5281523</v>
      </c>
      <c r="R61" s="20" t="n">
        <v>2.46480041</v>
      </c>
    </row>
    <row r="62" spans="1:18">
      <c r="A62" s="15" t="s">
        <v>404</v>
      </c>
      <c r="B62" s="17" t="n">
        <v>2230</v>
      </c>
      <c r="C62" s="18">
        <f>(1959.0/B62*100)</f>
        <v/>
      </c>
      <c r="D62" s="19" t="n">
        <v>271</v>
      </c>
      <c r="E62" s="18" t="n">
        <v>55.76909365</v>
      </c>
      <c r="F62" s="20" t="n">
        <v>3.20192684</v>
      </c>
      <c r="G62" s="18" t="n">
        <v>42.74012738</v>
      </c>
      <c r="H62" s="20" t="n">
        <v>3.21515021</v>
      </c>
      <c r="I62" s="18" t="s">
        <v>349</v>
      </c>
      <c r="J62" s="20" t="s">
        <v>349</v>
      </c>
      <c r="K62" s="18" t="n">
        <v>0</v>
      </c>
      <c r="L62" s="20" t="n">
        <v>0</v>
      </c>
      <c r="M62" s="18" t="n">
        <v>0</v>
      </c>
      <c r="N62" s="20" t="n">
        <v>0</v>
      </c>
      <c r="O62" s="18" t="n">
        <v>0</v>
      </c>
      <c r="P62" s="20" t="n">
        <v>0</v>
      </c>
      <c r="Q62" s="18" t="n">
        <v>1.49077897</v>
      </c>
      <c r="R62" s="20" t="n">
        <v>0.72828306</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(2442.0/B66*100)</f>
        <v/>
      </c>
      <c r="D66" s="19" t="n">
        <v>329</v>
      </c>
      <c r="E66" s="18" t="n">
        <v>41.60356728</v>
      </c>
      <c r="F66" s="20" t="n">
        <v>2.9773634</v>
      </c>
      <c r="G66" s="18" t="n">
        <v>9.138360690000001</v>
      </c>
      <c r="H66" s="20" t="n">
        <v>1.48071494</v>
      </c>
      <c r="I66" s="18" t="s">
        <v>349</v>
      </c>
      <c r="J66" s="20" t="s">
        <v>349</v>
      </c>
      <c r="K66" s="18" t="n">
        <v>0.80369519</v>
      </c>
      <c r="L66" s="20" t="n">
        <v>0.46110977</v>
      </c>
      <c r="M66" s="18" t="n">
        <v>0</v>
      </c>
      <c r="N66" s="20" t="n">
        <v>0</v>
      </c>
      <c r="O66" s="18" t="n">
        <v>0</v>
      </c>
      <c r="P66" s="20" t="n">
        <v>0</v>
      </c>
      <c r="Q66" s="18" t="n">
        <v>48.45437684</v>
      </c>
      <c r="R66" s="20" t="n">
        <v>3.08618648</v>
      </c>
    </row>
    <row r="67" spans="1:18">
      <c r="A67" s="15" t="s">
        <v>409</v>
      </c>
      <c r="B67" s="17" t="n">
        <v>3460</v>
      </c>
      <c r="C67" s="18">
        <f>(3086.0/B67*100)</f>
        <v/>
      </c>
      <c r="D67" s="19" t="n">
        <v>374</v>
      </c>
      <c r="E67" s="18" t="n">
        <v>61.14096447</v>
      </c>
      <c r="F67" s="20" t="n">
        <v>2.67918952</v>
      </c>
      <c r="G67" s="18" t="n">
        <v>11.34410574</v>
      </c>
      <c r="H67" s="20" t="n">
        <v>1.98431355</v>
      </c>
      <c r="I67" s="18" t="s">
        <v>349</v>
      </c>
      <c r="J67" s="20" t="s">
        <v>349</v>
      </c>
      <c r="K67" s="18" t="n">
        <v>0.69195214</v>
      </c>
      <c r="L67" s="20" t="n">
        <v>0.69445947</v>
      </c>
      <c r="M67" s="18" t="n">
        <v>0</v>
      </c>
      <c r="N67" s="20" t="n">
        <v>0</v>
      </c>
      <c r="O67" s="18" t="n">
        <v>0</v>
      </c>
      <c r="P67" s="20" t="n">
        <v>0</v>
      </c>
      <c r="Q67" s="18" t="n">
        <v>26.82297766</v>
      </c>
      <c r="R67" s="20" t="n">
        <v>2.50799806</v>
      </c>
    </row>
    <row r="68" spans="1:18">
      <c r="A68" s="15" t="s">
        <v>410</v>
      </c>
      <c r="B68" s="17" t="n">
        <v>6034</v>
      </c>
      <c r="C68" s="18">
        <f>(5045.0/B68*100)</f>
        <v/>
      </c>
      <c r="D68" s="19" t="n">
        <v>989</v>
      </c>
      <c r="E68" s="18" t="n">
        <v>67.28617409</v>
      </c>
      <c r="F68" s="20" t="n">
        <v>1.32607133</v>
      </c>
      <c r="G68" s="18" t="n">
        <v>15.82625147</v>
      </c>
      <c r="H68" s="20" t="n">
        <v>1.23713404</v>
      </c>
      <c r="I68" s="18" t="s">
        <v>349</v>
      </c>
      <c r="J68" s="20" t="s">
        <v>349</v>
      </c>
      <c r="K68" s="18" t="n">
        <v>1.98698898</v>
      </c>
      <c r="L68" s="20" t="n">
        <v>0.38354484</v>
      </c>
      <c r="M68" s="18" t="n">
        <v>0</v>
      </c>
      <c r="N68" s="20" t="n">
        <v>0</v>
      </c>
      <c r="O68" s="18" t="n">
        <v>0</v>
      </c>
      <c r="P68" s="20" t="n">
        <v>0</v>
      </c>
      <c r="Q68" s="18" t="n">
        <v>14.90058546</v>
      </c>
      <c r="R68" s="20" t="n">
        <v>0.98780918</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(2777.0/B70*100)</f>
        <v/>
      </c>
      <c r="D70" s="19" t="n">
        <v>330</v>
      </c>
      <c r="E70" s="18" t="n">
        <v>44.38267839</v>
      </c>
      <c r="F70" s="20" t="n">
        <v>3.44955397</v>
      </c>
      <c r="G70" s="18" t="n">
        <v>40.28289976</v>
      </c>
      <c r="H70" s="20" t="n">
        <v>3.77378043</v>
      </c>
      <c r="I70" s="18" t="s">
        <v>349</v>
      </c>
      <c r="J70" s="20" t="s">
        <v>349</v>
      </c>
      <c r="K70" s="18" t="n">
        <v>1.26758845</v>
      </c>
      <c r="L70" s="20" t="n">
        <v>0.47037915</v>
      </c>
      <c r="M70" s="18" t="n">
        <v>0</v>
      </c>
      <c r="N70" s="20" t="n">
        <v>0</v>
      </c>
      <c r="O70" s="18" t="n">
        <v>0</v>
      </c>
      <c r="P70" s="20" t="n">
        <v>0</v>
      </c>
      <c r="Q70" s="18" t="n">
        <v>14.0668334</v>
      </c>
      <c r="R70" s="20" t="n">
        <v>3.50287546</v>
      </c>
    </row>
    <row r="71" spans="1:18">
      <c r="A71" s="15" t="s">
        <v>413</v>
      </c>
      <c r="B71" s="17" t="n">
        <v>2973</v>
      </c>
      <c r="C71" s="18">
        <f>(2636.0/B71*100)</f>
        <v/>
      </c>
      <c r="D71" s="19" t="n">
        <v>337</v>
      </c>
      <c r="E71" s="18" t="n">
        <v>45.00637021</v>
      </c>
      <c r="F71" s="20" t="n">
        <v>2.90702591</v>
      </c>
      <c r="G71" s="18" t="n">
        <v>49.2756234</v>
      </c>
      <c r="H71" s="20" t="n">
        <v>3.22771011</v>
      </c>
      <c r="I71" s="18" t="s">
        <v>349</v>
      </c>
      <c r="J71" s="20" t="s">
        <v>349</v>
      </c>
      <c r="K71" s="18" t="n">
        <v>0</v>
      </c>
      <c r="L71" s="20" t="n">
        <v>0</v>
      </c>
      <c r="M71" s="18" t="n">
        <v>0</v>
      </c>
      <c r="N71" s="20" t="n">
        <v>0</v>
      </c>
      <c r="O71" s="18" t="n">
        <v>0</v>
      </c>
      <c r="P71" s="20" t="n">
        <v>0</v>
      </c>
      <c r="Q71" s="18" t="n">
        <v>5.71800639</v>
      </c>
      <c r="R71" s="20" t="n">
        <v>1.35711103</v>
      </c>
    </row>
    <row r="72" spans="1:18">
      <c r="A72" s="15" t="s">
        <v>414</v>
      </c>
      <c r="B72" s="17" t="n">
        <v>3819</v>
      </c>
      <c r="C72" s="18">
        <f>(3352.0/B72*100)</f>
        <v/>
      </c>
      <c r="D72" s="19" t="n">
        <v>467</v>
      </c>
      <c r="E72" s="18" t="n">
        <v>60.50734952</v>
      </c>
      <c r="F72" s="20" t="n">
        <v>2.58787738</v>
      </c>
      <c r="G72" s="18" t="n">
        <v>32.63915306</v>
      </c>
      <c r="H72" s="20" t="n">
        <v>2.42571164</v>
      </c>
      <c r="I72" s="18" t="s">
        <v>349</v>
      </c>
      <c r="J72" s="20" t="s">
        <v>349</v>
      </c>
      <c r="K72" s="18" t="n">
        <v>0.14669823</v>
      </c>
      <c r="L72" s="20" t="n">
        <v>0.14818311</v>
      </c>
      <c r="M72" s="18" t="n">
        <v>0</v>
      </c>
      <c r="N72" s="20" t="n">
        <v>0</v>
      </c>
      <c r="O72" s="18" t="n">
        <v>0</v>
      </c>
      <c r="P72" s="20" t="n">
        <v>0</v>
      </c>
      <c r="Q72" s="18" t="n">
        <v>6.70679919</v>
      </c>
      <c r="R72" s="20" t="n">
        <v>1.31800592</v>
      </c>
    </row>
    <row r="73" spans="1:18">
      <c r="A73" s="15" t="s">
        <v>415</v>
      </c>
      <c r="B73" s="17" t="n">
        <v>4652</v>
      </c>
      <c r="C73" s="18">
        <f>(4088.0/B73*100)</f>
        <v/>
      </c>
      <c r="D73" s="19" t="n">
        <v>564</v>
      </c>
      <c r="E73" s="18" t="n">
        <v>63.84951833</v>
      </c>
      <c r="F73" s="20" t="n">
        <v>2.44764339</v>
      </c>
      <c r="G73" s="18" t="n">
        <v>32.97421858</v>
      </c>
      <c r="H73" s="20" t="n">
        <v>2.37078668</v>
      </c>
      <c r="I73" s="18" t="s">
        <v>349</v>
      </c>
      <c r="J73" s="20" t="s">
        <v>349</v>
      </c>
      <c r="K73" s="18" t="n">
        <v>0</v>
      </c>
      <c r="L73" s="20" t="n">
        <v>0</v>
      </c>
      <c r="M73" s="18" t="n">
        <v>0</v>
      </c>
      <c r="N73" s="20" t="n">
        <v>0</v>
      </c>
      <c r="O73" s="18" t="n">
        <v>0</v>
      </c>
      <c r="P73" s="20" t="n">
        <v>0</v>
      </c>
      <c r="Q73" s="18" t="n">
        <v>3.17626309</v>
      </c>
      <c r="R73" s="20" t="n">
        <v>0.99329302</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(2621.0/B75*100)</f>
        <v/>
      </c>
      <c r="D75" s="19" t="n">
        <v>348</v>
      </c>
      <c r="E75" s="18" t="n">
        <v>54.72210183</v>
      </c>
      <c r="F75" s="20" t="n">
        <v>2.54921075</v>
      </c>
      <c r="G75" s="18" t="n">
        <v>20.32357612</v>
      </c>
      <c r="H75" s="20" t="n">
        <v>1.98775199</v>
      </c>
      <c r="I75" s="18" t="s">
        <v>349</v>
      </c>
      <c r="J75" s="20" t="s">
        <v>349</v>
      </c>
      <c r="K75" s="18" t="n">
        <v>4.28904705</v>
      </c>
      <c r="L75" s="20" t="n">
        <v>1.21789523</v>
      </c>
      <c r="M75" s="18" t="n">
        <v>0</v>
      </c>
      <c r="N75" s="20" t="n">
        <v>0</v>
      </c>
      <c r="O75" s="18" t="n">
        <v>0</v>
      </c>
      <c r="P75" s="20" t="n">
        <v>0</v>
      </c>
      <c r="Q75" s="18" t="n">
        <v>20.66527501</v>
      </c>
      <c r="R75" s="20" t="n">
        <v>2.11919226</v>
      </c>
    </row>
    <row r="76" spans="1:18">
      <c r="A76" s="15" t="s">
        <v>418</v>
      </c>
      <c r="B76" s="17" t="n">
        <v>7115</v>
      </c>
      <c r="C76" s="18">
        <f>(6284.0/B76*100)</f>
        <v/>
      </c>
      <c r="D76" s="19" t="n">
        <v>831</v>
      </c>
      <c r="E76" s="18" t="n">
        <v>64.54222719000001</v>
      </c>
      <c r="F76" s="20" t="n">
        <v>2.19888073</v>
      </c>
      <c r="G76" s="18" t="n">
        <v>26.7927976</v>
      </c>
      <c r="H76" s="20" t="n">
        <v>1.82039583</v>
      </c>
      <c r="I76" s="18" t="s">
        <v>349</v>
      </c>
      <c r="J76" s="20" t="s">
        <v>349</v>
      </c>
      <c r="K76" s="18" t="n">
        <v>1.15498289</v>
      </c>
      <c r="L76" s="20" t="n">
        <v>0.41889686</v>
      </c>
      <c r="M76" s="18" t="n">
        <v>0</v>
      </c>
      <c r="N76" s="20" t="n">
        <v>0</v>
      </c>
      <c r="O76" s="18" t="n">
        <v>0</v>
      </c>
      <c r="P76" s="20" t="n">
        <v>0</v>
      </c>
      <c r="Q76" s="18" t="n">
        <v>7.50999232</v>
      </c>
      <c r="R76" s="20" t="n">
        <v>1.09656318</v>
      </c>
    </row>
    <row r="77" spans="1:18">
      <c r="A77" s="15" t="s">
        <v>419</v>
      </c>
      <c r="B77" s="17" t="n">
        <v>3154</v>
      </c>
      <c r="C77" s="18">
        <f>(2783.0/B77*100)</f>
        <v/>
      </c>
      <c r="D77" s="19" t="n">
        <v>371</v>
      </c>
      <c r="E77" s="18" t="n">
        <v>45.29018434</v>
      </c>
      <c r="F77" s="20" t="n">
        <v>2.62090797</v>
      </c>
      <c r="G77" s="18" t="n">
        <v>11.87007885</v>
      </c>
      <c r="H77" s="20" t="n">
        <v>1.58929426</v>
      </c>
      <c r="I77" s="18" t="s">
        <v>349</v>
      </c>
      <c r="J77" s="20" t="s">
        <v>349</v>
      </c>
      <c r="K77" s="18" t="n">
        <v>1.58001108</v>
      </c>
      <c r="L77" s="20" t="n">
        <v>0.68640278</v>
      </c>
      <c r="M77" s="18" t="n">
        <v>0</v>
      </c>
      <c r="N77" s="20" t="n">
        <v>0</v>
      </c>
      <c r="O77" s="18" t="n">
        <v>0</v>
      </c>
      <c r="P77" s="20" t="n">
        <v>0</v>
      </c>
      <c r="Q77" s="18" t="n">
        <v>41.25972573</v>
      </c>
      <c r="R77" s="20" t="n">
        <v>2.5675737</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(4129.0/B81*100)</f>
        <v/>
      </c>
      <c r="D81" s="19" t="n">
        <v>569</v>
      </c>
      <c r="E81" s="18" t="n">
        <v>64.4459191</v>
      </c>
      <c r="F81" s="20" t="n">
        <v>2.54651288</v>
      </c>
      <c r="G81" s="18" t="n">
        <v>33.06263582</v>
      </c>
      <c r="H81" s="20" t="n">
        <v>2.40034717</v>
      </c>
      <c r="I81" s="18" t="s">
        <v>349</v>
      </c>
      <c r="J81" s="20" t="s">
        <v>349</v>
      </c>
      <c r="K81" s="18" t="n">
        <v>0.28287077</v>
      </c>
      <c r="L81" s="20" t="n">
        <v>0.27999662</v>
      </c>
      <c r="M81" s="18" t="n">
        <v>0</v>
      </c>
      <c r="N81" s="20" t="n">
        <v>0</v>
      </c>
      <c r="O81" s="18" t="n">
        <v>0</v>
      </c>
      <c r="P81" s="20" t="n">
        <v>0</v>
      </c>
      <c r="Q81" s="18" t="n">
        <v>2.2085743</v>
      </c>
      <c r="R81" s="20" t="n">
        <v>0.86392729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(6317.0/B7*100)</f>
        <v/>
      </c>
      <c r="D7" s="19" t="n">
        <v>846</v>
      </c>
      <c r="E7" s="18" t="n">
        <v>73.20045069</v>
      </c>
      <c r="F7" s="20" t="n">
        <v>1.61098871</v>
      </c>
      <c r="G7" s="18" t="n">
        <v>23.19747825</v>
      </c>
      <c r="H7" s="20" t="n">
        <v>1.41870108</v>
      </c>
      <c r="I7" s="18" t="s">
        <v>349</v>
      </c>
      <c r="J7" s="20" t="s">
        <v>349</v>
      </c>
      <c r="K7" s="18" t="n">
        <v>0.58434655</v>
      </c>
      <c r="L7" s="20" t="n">
        <v>0.29443262</v>
      </c>
      <c r="M7" s="18" t="n">
        <v>0</v>
      </c>
      <c r="N7" s="20" t="n">
        <v>0</v>
      </c>
      <c r="O7" s="18" t="n">
        <v>0</v>
      </c>
      <c r="P7" s="20" t="n">
        <v>0</v>
      </c>
      <c r="Q7" s="18" t="n">
        <v>3.01772451</v>
      </c>
      <c r="R7" s="20" t="n">
        <v>0.67929861</v>
      </c>
    </row>
    <row r="8" spans="1:18">
      <c r="A8" s="15" t="s">
        <v>350</v>
      </c>
      <c r="B8" s="17" t="n">
        <v>3443</v>
      </c>
      <c r="C8" s="18">
        <f>(3035.0/B8*100)</f>
        <v/>
      </c>
      <c r="D8" s="19" t="n">
        <v>408</v>
      </c>
      <c r="E8" s="18" t="n">
        <v>73.68567727</v>
      </c>
      <c r="F8" s="20" t="n">
        <v>2.38530996</v>
      </c>
      <c r="G8" s="18" t="n">
        <v>21.55715147</v>
      </c>
      <c r="H8" s="20" t="n">
        <v>2.15626471</v>
      </c>
      <c r="I8" s="18" t="s">
        <v>349</v>
      </c>
      <c r="J8" s="20" t="s">
        <v>349</v>
      </c>
      <c r="K8" s="18" t="n">
        <v>0.5031552500000001</v>
      </c>
      <c r="L8" s="20" t="n">
        <v>0.38592697</v>
      </c>
      <c r="M8" s="18" t="n">
        <v>0</v>
      </c>
      <c r="N8" s="20" t="n">
        <v>0</v>
      </c>
      <c r="O8" s="18" t="n">
        <v>0</v>
      </c>
      <c r="P8" s="20" t="n">
        <v>0</v>
      </c>
      <c r="Q8" s="18" t="n">
        <v>4.254016</v>
      </c>
      <c r="R8" s="20" t="n">
        <v>1.1841554</v>
      </c>
    </row>
    <row r="9" spans="1:18">
      <c r="A9" s="15" t="s">
        <v>351</v>
      </c>
      <c r="B9" s="17" t="n">
        <v>4752</v>
      </c>
      <c r="C9" s="18">
        <f>(4190.0/B9*100)</f>
        <v/>
      </c>
      <c r="D9" s="19" t="n">
        <v>562</v>
      </c>
      <c r="E9" s="18" t="n">
        <v>72.56073213000001</v>
      </c>
      <c r="F9" s="20" t="n">
        <v>1.75895501</v>
      </c>
      <c r="G9" s="18" t="n">
        <v>21.9909858</v>
      </c>
      <c r="H9" s="20" t="n">
        <v>1.84048395</v>
      </c>
      <c r="I9" s="18" t="s">
        <v>349</v>
      </c>
      <c r="J9" s="20" t="s">
        <v>349</v>
      </c>
      <c r="K9" s="18" t="n">
        <v>0.43057278</v>
      </c>
      <c r="L9" s="20" t="n">
        <v>0.33759574</v>
      </c>
      <c r="M9" s="18" t="n">
        <v>0</v>
      </c>
      <c r="N9" s="20" t="n">
        <v>0</v>
      </c>
      <c r="O9" s="18" t="n">
        <v>0</v>
      </c>
      <c r="P9" s="20" t="n">
        <v>0</v>
      </c>
      <c r="Q9" s="18" t="n">
        <v>5.01770929</v>
      </c>
      <c r="R9" s="20" t="n">
        <v>0.88842585</v>
      </c>
    </row>
    <row r="10" spans="1:18">
      <c r="A10" s="15" t="s">
        <v>352</v>
      </c>
      <c r="B10" s="17" t="n">
        <v>10022</v>
      </c>
      <c r="C10" s="18">
        <f>(8789.0/B10*100)</f>
        <v/>
      </c>
      <c r="D10" s="19" t="n">
        <v>1233</v>
      </c>
      <c r="E10" s="18" t="n">
        <v>67.77371162</v>
      </c>
      <c r="F10" s="20" t="n">
        <v>1.64060123</v>
      </c>
      <c r="G10" s="18" t="n">
        <v>30.09434681</v>
      </c>
      <c r="H10" s="20" t="n">
        <v>1.72288698</v>
      </c>
      <c r="I10" s="18" t="s">
        <v>349</v>
      </c>
      <c r="J10" s="20" t="s">
        <v>349</v>
      </c>
      <c r="K10" s="18" t="n">
        <v>0.44125361</v>
      </c>
      <c r="L10" s="20" t="n">
        <v>0.21791766</v>
      </c>
      <c r="M10" s="18" t="n">
        <v>0</v>
      </c>
      <c r="N10" s="20" t="n">
        <v>0</v>
      </c>
      <c r="O10" s="18" t="n">
        <v>0</v>
      </c>
      <c r="P10" s="20" t="n">
        <v>0</v>
      </c>
      <c r="Q10" s="18" t="n">
        <v>1.69068795</v>
      </c>
      <c r="R10" s="20" t="n">
        <v>0.4811588</v>
      </c>
    </row>
    <row r="11" spans="1:18">
      <c r="A11" s="15" t="s">
        <v>353</v>
      </c>
      <c r="B11" s="17" t="n">
        <v>3500</v>
      </c>
      <c r="C11" s="18">
        <f>(3086.0/B11*100)</f>
        <v/>
      </c>
      <c r="D11" s="19" t="n">
        <v>414</v>
      </c>
      <c r="E11" s="18" t="n">
        <v>83.66504119</v>
      </c>
      <c r="F11" s="20" t="n">
        <v>1.9902774</v>
      </c>
      <c r="G11" s="18" t="n">
        <v>4.68421135</v>
      </c>
      <c r="H11" s="20" t="n">
        <v>1.06425911</v>
      </c>
      <c r="I11" s="18" t="s">
        <v>349</v>
      </c>
      <c r="J11" s="20" t="s">
        <v>349</v>
      </c>
      <c r="K11" s="18" t="n">
        <v>1.28216905</v>
      </c>
      <c r="L11" s="20" t="n">
        <v>0.57408937</v>
      </c>
      <c r="M11" s="18" t="n">
        <v>0</v>
      </c>
      <c r="N11" s="20" t="n">
        <v>0</v>
      </c>
      <c r="O11" s="18" t="n">
        <v>0</v>
      </c>
      <c r="P11" s="20" t="n">
        <v>0</v>
      </c>
      <c r="Q11" s="18" t="n">
        <v>10.36857841</v>
      </c>
      <c r="R11" s="20" t="n">
        <v>1.851039</v>
      </c>
    </row>
    <row r="12" spans="1:18">
      <c r="A12" s="15" t="s">
        <v>354</v>
      </c>
      <c r="B12" s="17" t="n">
        <v>3422</v>
      </c>
      <c r="C12" s="18">
        <f>(2987.0/B12*100)</f>
        <v/>
      </c>
      <c r="D12" s="19" t="n">
        <v>435</v>
      </c>
      <c r="E12" s="18" t="n">
        <v>71.35951454000001</v>
      </c>
      <c r="F12" s="20" t="n">
        <v>2.06463276</v>
      </c>
      <c r="G12" s="18" t="n">
        <v>22.30816868</v>
      </c>
      <c r="H12" s="20" t="n">
        <v>1.97970618</v>
      </c>
      <c r="I12" s="18" t="s">
        <v>349</v>
      </c>
      <c r="J12" s="20" t="s">
        <v>349</v>
      </c>
      <c r="K12" s="18" t="n">
        <v>0.17048198</v>
      </c>
      <c r="L12" s="20" t="n">
        <v>0.12086359</v>
      </c>
      <c r="M12" s="18" t="n">
        <v>0</v>
      </c>
      <c r="N12" s="20" t="n">
        <v>0</v>
      </c>
      <c r="O12" s="18" t="n">
        <v>0</v>
      </c>
      <c r="P12" s="20" t="n">
        <v>0</v>
      </c>
      <c r="Q12" s="18" t="n">
        <v>6.16183479</v>
      </c>
      <c r="R12" s="20" t="n">
        <v>1.22000562</v>
      </c>
    </row>
    <row r="13" spans="1:18">
      <c r="A13" s="15" t="s">
        <v>355</v>
      </c>
      <c r="B13" s="17" t="n">
        <v>3602</v>
      </c>
      <c r="C13" s="18">
        <f>(3163.0/B13*100)</f>
        <v/>
      </c>
      <c r="D13" s="19" t="n">
        <v>439</v>
      </c>
      <c r="E13" s="18" t="n">
        <v>72.47950324999999</v>
      </c>
      <c r="F13" s="20" t="n">
        <v>2.79985192</v>
      </c>
      <c r="G13" s="18" t="n">
        <v>21.6665847</v>
      </c>
      <c r="H13" s="20" t="n">
        <v>2.45685785</v>
      </c>
      <c r="I13" s="18" t="s">
        <v>349</v>
      </c>
      <c r="J13" s="20" t="s">
        <v>349</v>
      </c>
      <c r="K13" s="18" t="n">
        <v>1.46387644</v>
      </c>
      <c r="L13" s="20" t="n">
        <v>0.65541745</v>
      </c>
      <c r="M13" s="18" t="n">
        <v>0</v>
      </c>
      <c r="N13" s="20" t="n">
        <v>0</v>
      </c>
      <c r="O13" s="18" t="n">
        <v>0</v>
      </c>
      <c r="P13" s="20" t="n">
        <v>0</v>
      </c>
      <c r="Q13" s="18" t="n">
        <v>4.3900356</v>
      </c>
      <c r="R13" s="20" t="n">
        <v>1.14624162</v>
      </c>
    </row>
    <row r="14" spans="1:18">
      <c r="A14" s="15" t="s">
        <v>356</v>
      </c>
      <c r="B14" s="17" t="n">
        <v>2788</v>
      </c>
      <c r="C14" s="18">
        <f>(2430.0/B14*100)</f>
        <v/>
      </c>
      <c r="D14" s="19" t="n">
        <v>358</v>
      </c>
      <c r="E14" s="18" t="n">
        <v>78.68491410999999</v>
      </c>
      <c r="F14" s="20" t="n">
        <v>2.19153586</v>
      </c>
      <c r="G14" s="18" t="n">
        <v>16.61111065</v>
      </c>
      <c r="H14" s="20" t="n">
        <v>2.01888521</v>
      </c>
      <c r="I14" s="18" t="s">
        <v>349</v>
      </c>
      <c r="J14" s="20" t="s">
        <v>349</v>
      </c>
      <c r="K14" s="18" t="n">
        <v>0.47414404</v>
      </c>
      <c r="L14" s="20" t="n">
        <v>0.33005162</v>
      </c>
      <c r="M14" s="18" t="n">
        <v>0</v>
      </c>
      <c r="N14" s="20" t="n">
        <v>0</v>
      </c>
      <c r="O14" s="18" t="n">
        <v>0</v>
      </c>
      <c r="P14" s="20" t="n">
        <v>0</v>
      </c>
      <c r="Q14" s="18" t="n">
        <v>4.22983119</v>
      </c>
      <c r="R14" s="20" t="n">
        <v>1.12660879</v>
      </c>
    </row>
    <row r="15" spans="1:18">
      <c r="A15" s="15" t="s">
        <v>357</v>
      </c>
      <c r="B15" s="17" t="n">
        <v>2863</v>
      </c>
      <c r="C15" s="18">
        <f>(2516.0/B15*100)</f>
        <v/>
      </c>
      <c r="D15" s="19" t="n">
        <v>347</v>
      </c>
      <c r="E15" s="18" t="n">
        <v>64.55434029</v>
      </c>
      <c r="F15" s="20" t="n">
        <v>2.43338093</v>
      </c>
      <c r="G15" s="18" t="n">
        <v>30.75028309</v>
      </c>
      <c r="H15" s="20" t="n">
        <v>2.33471916</v>
      </c>
      <c r="I15" s="18" t="s">
        <v>349</v>
      </c>
      <c r="J15" s="20" t="s">
        <v>349</v>
      </c>
      <c r="K15" s="18" t="n">
        <v>0</v>
      </c>
      <c r="L15" s="20" t="n">
        <v>0</v>
      </c>
      <c r="M15" s="18" t="n">
        <v>0</v>
      </c>
      <c r="N15" s="20" t="n">
        <v>0</v>
      </c>
      <c r="O15" s="18" t="n">
        <v>0</v>
      </c>
      <c r="P15" s="20" t="n">
        <v>0</v>
      </c>
      <c r="Q15" s="18" t="n">
        <v>4.69537662</v>
      </c>
      <c r="R15" s="20" t="n">
        <v>1.02825383</v>
      </c>
    </row>
    <row r="16" spans="1:18">
      <c r="A16" s="15" t="s">
        <v>358</v>
      </c>
      <c r="B16" s="17" t="n">
        <v>3111</v>
      </c>
      <c r="C16" s="18">
        <f>(2747.0/B16*100)</f>
        <v/>
      </c>
      <c r="D16" s="19" t="n">
        <v>364</v>
      </c>
      <c r="E16" s="18" t="n">
        <v>71.72046441000001</v>
      </c>
      <c r="F16" s="20" t="n">
        <v>2.44545437</v>
      </c>
      <c r="G16" s="18" t="n">
        <v>17.55154721</v>
      </c>
      <c r="H16" s="20" t="n">
        <v>1.81767823</v>
      </c>
      <c r="I16" s="18" t="s">
        <v>349</v>
      </c>
      <c r="J16" s="20" t="s">
        <v>349</v>
      </c>
      <c r="K16" s="18" t="n">
        <v>1.48268968</v>
      </c>
      <c r="L16" s="20" t="n">
        <v>0.66234413</v>
      </c>
      <c r="M16" s="18" t="n">
        <v>0</v>
      </c>
      <c r="N16" s="20" t="n">
        <v>0</v>
      </c>
      <c r="O16" s="18" t="n">
        <v>0</v>
      </c>
      <c r="P16" s="20" t="n">
        <v>0</v>
      </c>
      <c r="Q16" s="18" t="n">
        <v>9.245298699999999</v>
      </c>
      <c r="R16" s="20" t="n">
        <v>1.52672372</v>
      </c>
    </row>
    <row r="17" spans="1:18">
      <c r="A17" s="15" t="s">
        <v>359</v>
      </c>
      <c r="B17" s="17" t="n">
        <v>3197</v>
      </c>
      <c r="C17" s="18">
        <f>(2823.0/B17*100)</f>
        <v/>
      </c>
      <c r="D17" s="19" t="n">
        <v>374</v>
      </c>
      <c r="E17" s="18" t="n">
        <v>69.35654615</v>
      </c>
      <c r="F17" s="20" t="n">
        <v>2.5414749</v>
      </c>
      <c r="G17" s="18" t="n">
        <v>26.32681438</v>
      </c>
      <c r="H17" s="20" t="n">
        <v>2.36615061</v>
      </c>
      <c r="I17" s="18" t="s">
        <v>349</v>
      </c>
      <c r="J17" s="20" t="s">
        <v>349</v>
      </c>
      <c r="K17" s="18" t="n">
        <v>0</v>
      </c>
      <c r="L17" s="20" t="n">
        <v>0</v>
      </c>
      <c r="M17" s="18" t="n">
        <v>0</v>
      </c>
      <c r="N17" s="20" t="n">
        <v>0</v>
      </c>
      <c r="O17" s="18" t="n">
        <v>0</v>
      </c>
      <c r="P17" s="20" t="n">
        <v>0</v>
      </c>
      <c r="Q17" s="18" t="n">
        <v>4.31663947</v>
      </c>
      <c r="R17" s="20" t="n">
        <v>1.10077348</v>
      </c>
    </row>
    <row r="18" spans="1:18">
      <c r="A18" s="15" t="s">
        <v>360</v>
      </c>
      <c r="B18" s="17" t="n">
        <v>2706</v>
      </c>
      <c r="C18" s="18">
        <f>(2367.0/B18*100)</f>
        <v/>
      </c>
      <c r="D18" s="19" t="n">
        <v>339</v>
      </c>
      <c r="E18" s="18" t="n">
        <v>80.93752394000001</v>
      </c>
      <c r="F18" s="20" t="n">
        <v>2.14630566</v>
      </c>
      <c r="G18" s="18" t="n">
        <v>11.7915479</v>
      </c>
      <c r="H18" s="20" t="n">
        <v>1.83772836</v>
      </c>
      <c r="I18" s="18" t="s">
        <v>349</v>
      </c>
      <c r="J18" s="20" t="s">
        <v>349</v>
      </c>
      <c r="K18" s="18" t="n">
        <v>1.51744151</v>
      </c>
      <c r="L18" s="20" t="n">
        <v>0.6219834</v>
      </c>
      <c r="M18" s="18" t="n">
        <v>0</v>
      </c>
      <c r="N18" s="20" t="n">
        <v>0</v>
      </c>
      <c r="O18" s="18" t="n">
        <v>0</v>
      </c>
      <c r="P18" s="20" t="n">
        <v>0</v>
      </c>
      <c r="Q18" s="18" t="n">
        <v>5.75348666</v>
      </c>
      <c r="R18" s="20" t="n">
        <v>1.33928029</v>
      </c>
    </row>
    <row r="19" spans="1:18">
      <c r="A19" s="15" t="s">
        <v>361</v>
      </c>
      <c r="B19" s="17" t="n">
        <v>2850</v>
      </c>
      <c r="C19" s="18">
        <f>(2495.0/B19*100)</f>
        <v/>
      </c>
      <c r="D19" s="19" t="n">
        <v>355</v>
      </c>
      <c r="E19" s="18" t="n">
        <v>77.59028613</v>
      </c>
      <c r="F19" s="20" t="n">
        <v>2.15658122</v>
      </c>
      <c r="G19" s="18" t="n">
        <v>17.60792731</v>
      </c>
      <c r="H19" s="20" t="n">
        <v>1.91623783</v>
      </c>
      <c r="I19" s="18" t="s">
        <v>349</v>
      </c>
      <c r="J19" s="20" t="s">
        <v>349</v>
      </c>
      <c r="K19" s="18" t="n">
        <v>0.55767391</v>
      </c>
      <c r="L19" s="20" t="n">
        <v>0.39244746</v>
      </c>
      <c r="M19" s="18" t="n">
        <v>0</v>
      </c>
      <c r="N19" s="20" t="n">
        <v>0</v>
      </c>
      <c r="O19" s="18" t="n">
        <v>0</v>
      </c>
      <c r="P19" s="20" t="n">
        <v>0</v>
      </c>
      <c r="Q19" s="18" t="n">
        <v>4.24411265</v>
      </c>
      <c r="R19" s="20" t="n">
        <v>1.19525288</v>
      </c>
    </row>
    <row r="20" spans="1:18">
      <c r="A20" s="15" t="s">
        <v>362</v>
      </c>
      <c r="B20" s="17" t="n">
        <v>1741</v>
      </c>
      <c r="C20" s="18">
        <f>(1537.0/B20*100)</f>
        <v/>
      </c>
      <c r="D20" s="19" t="n">
        <v>204</v>
      </c>
      <c r="E20" s="18" t="n">
        <v>81.14936434000001</v>
      </c>
      <c r="F20" s="20" t="n">
        <v>3.24337329</v>
      </c>
      <c r="G20" s="18" t="n">
        <v>14.43108509</v>
      </c>
      <c r="H20" s="20" t="n">
        <v>2.82470503</v>
      </c>
      <c r="I20" s="18" t="s">
        <v>349</v>
      </c>
      <c r="J20" s="20" t="s">
        <v>349</v>
      </c>
      <c r="K20" s="18" t="n">
        <v>0.94939264</v>
      </c>
      <c r="L20" s="20" t="n">
        <v>0.67656641</v>
      </c>
      <c r="M20" s="18" t="n">
        <v>0</v>
      </c>
      <c r="N20" s="20" t="n">
        <v>0</v>
      </c>
      <c r="O20" s="18" t="n">
        <v>0</v>
      </c>
      <c r="P20" s="20" t="n">
        <v>0</v>
      </c>
      <c r="Q20" s="18" t="n">
        <v>3.47015793</v>
      </c>
      <c r="R20" s="20" t="n">
        <v>1.26950164</v>
      </c>
    </row>
    <row r="21" spans="1:18">
      <c r="A21" s="15" t="s">
        <v>363</v>
      </c>
      <c r="B21" s="17" t="n">
        <v>2833</v>
      </c>
      <c r="C21" s="18">
        <f>(2360.0/B21*100)</f>
        <v/>
      </c>
      <c r="D21" s="19" t="n">
        <v>473</v>
      </c>
      <c r="E21" s="18" t="n">
        <v>84.7528508</v>
      </c>
      <c r="F21" s="20" t="n">
        <v>1.33270289</v>
      </c>
      <c r="G21" s="18" t="n">
        <v>13.7845648</v>
      </c>
      <c r="H21" s="20" t="n">
        <v>1.18262629</v>
      </c>
      <c r="I21" s="18" t="s">
        <v>349</v>
      </c>
      <c r="J21" s="20" t="s">
        <v>349</v>
      </c>
      <c r="K21" s="18" t="n">
        <v>0</v>
      </c>
      <c r="L21" s="20" t="n">
        <v>0</v>
      </c>
      <c r="M21" s="18" t="n">
        <v>0</v>
      </c>
      <c r="N21" s="20" t="n">
        <v>0</v>
      </c>
      <c r="O21" s="18" t="n">
        <v>0</v>
      </c>
      <c r="P21" s="20" t="n">
        <v>0</v>
      </c>
      <c r="Q21" s="18" t="n">
        <v>1.4625844</v>
      </c>
      <c r="R21" s="20" t="n">
        <v>0.63228619</v>
      </c>
    </row>
    <row r="22" spans="1:18">
      <c r="A22" s="15" t="s">
        <v>364</v>
      </c>
      <c r="B22" s="17" t="n">
        <v>3667</v>
      </c>
      <c r="C22" s="18">
        <f>(3207.0/B22*100)</f>
        <v/>
      </c>
      <c r="D22" s="19" t="n">
        <v>460</v>
      </c>
      <c r="E22" s="18" t="n">
        <v>78.6929557</v>
      </c>
      <c r="F22" s="20" t="n">
        <v>2.05631962</v>
      </c>
      <c r="G22" s="18" t="n">
        <v>14.41321635</v>
      </c>
      <c r="H22" s="20" t="n">
        <v>1.71345741</v>
      </c>
      <c r="I22" s="18" t="s">
        <v>349</v>
      </c>
      <c r="J22" s="20" t="s">
        <v>349</v>
      </c>
      <c r="K22" s="18" t="n">
        <v>0.98840956</v>
      </c>
      <c r="L22" s="20" t="n">
        <v>0.44297459</v>
      </c>
      <c r="M22" s="18" t="n">
        <v>0</v>
      </c>
      <c r="N22" s="20" t="n">
        <v>0</v>
      </c>
      <c r="O22" s="18" t="n">
        <v>0</v>
      </c>
      <c r="P22" s="20" t="n">
        <v>0</v>
      </c>
      <c r="Q22" s="18" t="n">
        <v>5.90541839</v>
      </c>
      <c r="R22" s="20" t="n">
        <v>1.18922105</v>
      </c>
    </row>
    <row r="23" spans="1:18">
      <c r="A23" s="15" t="s">
        <v>365</v>
      </c>
      <c r="B23" s="17" t="n">
        <v>5792</v>
      </c>
      <c r="C23" s="18">
        <f>(5099.0/B23*100)</f>
        <v/>
      </c>
      <c r="D23" s="19" t="n">
        <v>693</v>
      </c>
      <c r="E23" s="18" t="n">
        <v>72.31759429</v>
      </c>
      <c r="F23" s="20" t="n">
        <v>2.92782793</v>
      </c>
      <c r="G23" s="18" t="n">
        <v>21.01063223</v>
      </c>
      <c r="H23" s="20" t="n">
        <v>2.69690779</v>
      </c>
      <c r="I23" s="18" t="s">
        <v>349</v>
      </c>
      <c r="J23" s="20" t="s">
        <v>349</v>
      </c>
      <c r="K23" s="18" t="n">
        <v>0.6583866900000001</v>
      </c>
      <c r="L23" s="20" t="n">
        <v>0.42573293</v>
      </c>
      <c r="M23" s="18" t="n">
        <v>0</v>
      </c>
      <c r="N23" s="20" t="n">
        <v>0</v>
      </c>
      <c r="O23" s="18" t="n">
        <v>0</v>
      </c>
      <c r="P23" s="20" t="n">
        <v>0</v>
      </c>
      <c r="Q23" s="18" t="n">
        <v>6.01338678</v>
      </c>
      <c r="R23" s="20" t="n">
        <v>1.16756656</v>
      </c>
    </row>
    <row r="24" spans="1:18">
      <c r="A24" s="15" t="s">
        <v>366</v>
      </c>
      <c r="B24" s="17" t="n">
        <v>3309</v>
      </c>
      <c r="C24" s="18">
        <f>(2904.0/B24*100)</f>
        <v/>
      </c>
      <c r="D24" s="19" t="n">
        <v>405</v>
      </c>
      <c r="E24" s="18" t="n">
        <v>64.04563257</v>
      </c>
      <c r="F24" s="20" t="n">
        <v>2.51902276</v>
      </c>
      <c r="G24" s="18" t="n">
        <v>33.88763203</v>
      </c>
      <c r="H24" s="20" t="n">
        <v>2.68300859</v>
      </c>
      <c r="I24" s="18" t="s">
        <v>349</v>
      </c>
      <c r="J24" s="20" t="s">
        <v>349</v>
      </c>
      <c r="K24" s="18" t="n">
        <v>0</v>
      </c>
      <c r="L24" s="20" t="n">
        <v>0</v>
      </c>
      <c r="M24" s="18" t="n">
        <v>0</v>
      </c>
      <c r="N24" s="20" t="n">
        <v>0</v>
      </c>
      <c r="O24" s="18" t="n">
        <v>0</v>
      </c>
      <c r="P24" s="20" t="n">
        <v>0</v>
      </c>
      <c r="Q24" s="18" t="n">
        <v>2.0667354</v>
      </c>
      <c r="R24" s="20" t="n">
        <v>0.53329123</v>
      </c>
    </row>
    <row r="25" spans="1:18">
      <c r="A25" s="15" t="s">
        <v>367</v>
      </c>
      <c r="B25" s="17" t="n">
        <v>2669</v>
      </c>
      <c r="C25" s="18">
        <f>(2330.0/B25*100)</f>
        <v/>
      </c>
      <c r="D25" s="19" t="n">
        <v>339</v>
      </c>
      <c r="E25" s="18" t="n">
        <v>58.26162988</v>
      </c>
      <c r="F25" s="20" t="n">
        <v>2.83145575</v>
      </c>
      <c r="G25" s="18" t="n">
        <v>39.91844806</v>
      </c>
      <c r="H25" s="20" t="n">
        <v>2.77200953</v>
      </c>
      <c r="I25" s="18" t="s">
        <v>349</v>
      </c>
      <c r="J25" s="20" t="s">
        <v>349</v>
      </c>
      <c r="K25" s="18" t="n">
        <v>0.30639674</v>
      </c>
      <c r="L25" s="20" t="n">
        <v>0.30463023</v>
      </c>
      <c r="M25" s="18" t="n">
        <v>0</v>
      </c>
      <c r="N25" s="20" t="n">
        <v>0</v>
      </c>
      <c r="O25" s="18" t="n">
        <v>0</v>
      </c>
      <c r="P25" s="20" t="n">
        <v>0</v>
      </c>
      <c r="Q25" s="18" t="n">
        <v>1.51352532</v>
      </c>
      <c r="R25" s="20" t="n">
        <v>0.78286164</v>
      </c>
    </row>
    <row r="26" spans="1:18">
      <c r="A26" s="15" t="s">
        <v>368</v>
      </c>
      <c r="B26" s="17" t="n">
        <v>2419</v>
      </c>
      <c r="C26" s="18">
        <f>(2131.0/B26*100)</f>
        <v/>
      </c>
      <c r="D26" s="19" t="n">
        <v>288</v>
      </c>
      <c r="E26" s="18" t="n">
        <v>83.85562684</v>
      </c>
      <c r="F26" s="20" t="n">
        <v>2.23904161</v>
      </c>
      <c r="G26" s="18" t="n">
        <v>15.36384299</v>
      </c>
      <c r="H26" s="20" t="n">
        <v>2.18300147</v>
      </c>
      <c r="I26" s="18" t="s">
        <v>349</v>
      </c>
      <c r="J26" s="20" t="s">
        <v>349</v>
      </c>
      <c r="K26" s="18" t="n">
        <v>0.54204292</v>
      </c>
      <c r="L26" s="20" t="n">
        <v>0.38922643</v>
      </c>
      <c r="M26" s="18" t="n">
        <v>0</v>
      </c>
      <c r="N26" s="20" t="n">
        <v>0</v>
      </c>
      <c r="O26" s="18" t="n">
        <v>0</v>
      </c>
      <c r="P26" s="20" t="n">
        <v>0</v>
      </c>
      <c r="Q26" s="18" t="n">
        <v>0.23848724</v>
      </c>
      <c r="R26" s="20" t="n">
        <v>0.24196766</v>
      </c>
    </row>
    <row r="27" spans="1:18">
      <c r="A27" s="15" t="s">
        <v>369</v>
      </c>
      <c r="B27" s="17" t="n">
        <v>2683</v>
      </c>
      <c r="C27" s="18">
        <f>(2360.0/B27*100)</f>
        <v/>
      </c>
      <c r="D27" s="19" t="n">
        <v>323</v>
      </c>
      <c r="E27" s="18" t="n">
        <v>75.92172832999999</v>
      </c>
      <c r="F27" s="20" t="n">
        <v>2.29919513</v>
      </c>
      <c r="G27" s="18" t="n">
        <v>19.44589625</v>
      </c>
      <c r="H27" s="20" t="n">
        <v>2.17403087</v>
      </c>
      <c r="I27" s="18" t="s">
        <v>349</v>
      </c>
      <c r="J27" s="20" t="s">
        <v>349</v>
      </c>
      <c r="K27" s="18" t="n">
        <v>0.61958154</v>
      </c>
      <c r="L27" s="20" t="n">
        <v>0.43760475</v>
      </c>
      <c r="M27" s="18" t="n">
        <v>0</v>
      </c>
      <c r="N27" s="20" t="n">
        <v>0</v>
      </c>
      <c r="O27" s="18" t="n">
        <v>0</v>
      </c>
      <c r="P27" s="20" t="n">
        <v>0</v>
      </c>
      <c r="Q27" s="18" t="n">
        <v>4.01279388</v>
      </c>
      <c r="R27" s="20" t="n">
        <v>1.05306645</v>
      </c>
    </row>
    <row r="28" spans="1:18">
      <c r="A28" s="15" t="s">
        <v>370</v>
      </c>
      <c r="B28" s="17" t="n">
        <v>3803</v>
      </c>
      <c r="C28" s="18">
        <f>(3384.0/B28*100)</f>
        <v/>
      </c>
      <c r="D28" s="19" t="n">
        <v>419</v>
      </c>
      <c r="E28" s="18" t="n">
        <v>94.43668201</v>
      </c>
      <c r="F28" s="20" t="n">
        <v>1.20501902</v>
      </c>
      <c r="G28" s="18" t="n">
        <v>3.35806337</v>
      </c>
      <c r="H28" s="20" t="n">
        <v>0.80629639</v>
      </c>
      <c r="I28" s="18" t="s">
        <v>349</v>
      </c>
      <c r="J28" s="20" t="s">
        <v>349</v>
      </c>
      <c r="K28" s="18" t="n">
        <v>0.75104329</v>
      </c>
      <c r="L28" s="20" t="n">
        <v>0.50519232</v>
      </c>
      <c r="M28" s="18" t="n">
        <v>0</v>
      </c>
      <c r="N28" s="20" t="n">
        <v>0</v>
      </c>
      <c r="O28" s="18" t="n">
        <v>0</v>
      </c>
      <c r="P28" s="20" t="n">
        <v>0</v>
      </c>
      <c r="Q28" s="18" t="n">
        <v>1.45421133</v>
      </c>
      <c r="R28" s="20" t="n">
        <v>0.6493395199999999</v>
      </c>
    </row>
    <row r="29" spans="1:18">
      <c r="A29" s="15" t="s">
        <v>371</v>
      </c>
      <c r="B29" s="17" t="n">
        <v>2700</v>
      </c>
      <c r="C29" s="18">
        <f>(2358.0/B29*100)</f>
        <v/>
      </c>
      <c r="D29" s="19" t="n">
        <v>342</v>
      </c>
      <c r="E29" s="18" t="n">
        <v>77.3371831</v>
      </c>
      <c r="F29" s="20" t="n">
        <v>2.37691621</v>
      </c>
      <c r="G29" s="18" t="n">
        <v>19.89543756</v>
      </c>
      <c r="H29" s="20" t="n">
        <v>2.24943902</v>
      </c>
      <c r="I29" s="18" t="s">
        <v>349</v>
      </c>
      <c r="J29" s="20" t="s">
        <v>349</v>
      </c>
      <c r="K29" s="18" t="n">
        <v>0.63745782</v>
      </c>
      <c r="L29" s="20" t="n">
        <v>0.39661983</v>
      </c>
      <c r="M29" s="18" t="n">
        <v>0</v>
      </c>
      <c r="N29" s="20" t="n">
        <v>0</v>
      </c>
      <c r="O29" s="18" t="n">
        <v>0</v>
      </c>
      <c r="P29" s="20" t="n">
        <v>0</v>
      </c>
      <c r="Q29" s="18" t="n">
        <v>2.12992151</v>
      </c>
      <c r="R29" s="20" t="n">
        <v>0.78516317</v>
      </c>
    </row>
    <row r="30" spans="1:18">
      <c r="A30" s="15" t="s">
        <v>372</v>
      </c>
      <c r="B30" s="17" t="n">
        <v>2257</v>
      </c>
      <c r="C30" s="18">
        <f>(1978.0/B30*100)</f>
        <v/>
      </c>
      <c r="D30" s="19" t="n">
        <v>279</v>
      </c>
      <c r="E30" s="18" t="n">
        <v>76.77930014</v>
      </c>
      <c r="F30" s="20" t="n">
        <v>2.52147846</v>
      </c>
      <c r="G30" s="18" t="n">
        <v>18.70482025</v>
      </c>
      <c r="H30" s="20" t="n">
        <v>2.55120903</v>
      </c>
      <c r="I30" s="18" t="s">
        <v>349</v>
      </c>
      <c r="J30" s="20" t="s">
        <v>349</v>
      </c>
      <c r="K30" s="18" t="n">
        <v>0</v>
      </c>
      <c r="L30" s="20" t="n">
        <v>0</v>
      </c>
      <c r="M30" s="18" t="n">
        <v>0</v>
      </c>
      <c r="N30" s="20" t="n">
        <v>0</v>
      </c>
      <c r="O30" s="18" t="n">
        <v>0</v>
      </c>
      <c r="P30" s="20" t="n">
        <v>0</v>
      </c>
      <c r="Q30" s="18" t="n">
        <v>4.51587961</v>
      </c>
      <c r="R30" s="20" t="n">
        <v>1.17548354</v>
      </c>
    </row>
    <row r="31" spans="1:18">
      <c r="A31" s="15" t="s">
        <v>373</v>
      </c>
      <c r="B31" s="17" t="n">
        <v>2706</v>
      </c>
      <c r="C31" s="18">
        <f>(2392.0/B31*100)</f>
        <v/>
      </c>
      <c r="D31" s="19" t="n">
        <v>314</v>
      </c>
      <c r="E31" s="18" t="n">
        <v>72.64384439</v>
      </c>
      <c r="F31" s="20" t="n">
        <v>2.7788501</v>
      </c>
      <c r="G31" s="18" t="n">
        <v>18.60388206</v>
      </c>
      <c r="H31" s="20" t="n">
        <v>2.30176953</v>
      </c>
      <c r="I31" s="18" t="s">
        <v>349</v>
      </c>
      <c r="J31" s="20" t="s">
        <v>349</v>
      </c>
      <c r="K31" s="18" t="n">
        <v>0.96080575</v>
      </c>
      <c r="L31" s="20" t="n">
        <v>0.55923634</v>
      </c>
      <c r="M31" s="18" t="n">
        <v>0</v>
      </c>
      <c r="N31" s="20" t="n">
        <v>0</v>
      </c>
      <c r="O31" s="18" t="n">
        <v>0</v>
      </c>
      <c r="P31" s="20" t="n">
        <v>0</v>
      </c>
      <c r="Q31" s="18" t="n">
        <v>7.79146779</v>
      </c>
      <c r="R31" s="20" t="n">
        <v>1.58081867</v>
      </c>
    </row>
    <row r="32" spans="1:18">
      <c r="A32" s="15" t="s">
        <v>374</v>
      </c>
      <c r="B32" s="17" t="n">
        <v>2209</v>
      </c>
      <c r="C32" s="18">
        <f>(1842.0/B32*100)</f>
        <v/>
      </c>
      <c r="D32" s="19" t="n">
        <v>367</v>
      </c>
      <c r="E32" s="18" t="n">
        <v>71.70381046</v>
      </c>
      <c r="F32" s="20" t="n">
        <v>2.77026087</v>
      </c>
      <c r="G32" s="18" t="n">
        <v>25.25081475</v>
      </c>
      <c r="H32" s="20" t="n">
        <v>2.72935445</v>
      </c>
      <c r="I32" s="18" t="s">
        <v>349</v>
      </c>
      <c r="J32" s="20" t="s">
        <v>349</v>
      </c>
      <c r="K32" s="18" t="n">
        <v>0.25851844</v>
      </c>
      <c r="L32" s="20" t="n">
        <v>0.27083077</v>
      </c>
      <c r="M32" s="18" t="n">
        <v>0</v>
      </c>
      <c r="N32" s="20" t="n">
        <v>0</v>
      </c>
      <c r="O32" s="18" t="n">
        <v>0</v>
      </c>
      <c r="P32" s="20" t="n">
        <v>0</v>
      </c>
      <c r="Q32" s="18" t="n">
        <v>2.78685635</v>
      </c>
      <c r="R32" s="20" t="n">
        <v>0.93508297</v>
      </c>
    </row>
    <row r="33" spans="1:18">
      <c r="A33" s="15" t="s">
        <v>375</v>
      </c>
      <c r="B33" s="17" t="n">
        <v>3651</v>
      </c>
      <c r="C33" s="18">
        <f>(3225.0/B33*100)</f>
        <v/>
      </c>
      <c r="D33" s="19" t="n">
        <v>426</v>
      </c>
      <c r="E33" s="18" t="n">
        <v>75.68549493</v>
      </c>
      <c r="F33" s="20" t="n">
        <v>3.01973643</v>
      </c>
      <c r="G33" s="18" t="n">
        <v>20.55700705</v>
      </c>
      <c r="H33" s="20" t="n">
        <v>2.36624259</v>
      </c>
      <c r="I33" s="18" t="s">
        <v>349</v>
      </c>
      <c r="J33" s="20" t="s">
        <v>349</v>
      </c>
      <c r="K33" s="18" t="n">
        <v>0.09502602</v>
      </c>
      <c r="L33" s="20" t="n">
        <v>0.07239507000000001</v>
      </c>
      <c r="M33" s="18" t="n">
        <v>0</v>
      </c>
      <c r="N33" s="20" t="n">
        <v>0</v>
      </c>
      <c r="O33" s="18" t="n">
        <v>0</v>
      </c>
      <c r="P33" s="20" t="n">
        <v>0</v>
      </c>
      <c r="Q33" s="18" t="n">
        <v>3.66247199</v>
      </c>
      <c r="R33" s="20" t="n">
        <v>1.47929391</v>
      </c>
    </row>
    <row r="34" spans="1:18">
      <c r="A34" s="15" t="s">
        <v>376</v>
      </c>
      <c r="B34" s="17" t="n">
        <v>3035</v>
      </c>
      <c r="C34" s="18">
        <f>(2676.0/B34*100)</f>
        <v/>
      </c>
      <c r="D34" s="19" t="n">
        <v>359</v>
      </c>
      <c r="E34" s="18" t="n">
        <v>81.57729061000001</v>
      </c>
      <c r="F34" s="20" t="n">
        <v>1.94030317</v>
      </c>
      <c r="G34" s="18" t="n">
        <v>15.11752101</v>
      </c>
      <c r="H34" s="20" t="n">
        <v>1.95424377</v>
      </c>
      <c r="I34" s="18" t="s">
        <v>349</v>
      </c>
      <c r="J34" s="20" t="s">
        <v>349</v>
      </c>
      <c r="K34" s="18" t="n">
        <v>0</v>
      </c>
      <c r="L34" s="20" t="n">
        <v>0</v>
      </c>
      <c r="M34" s="18" t="n">
        <v>0</v>
      </c>
      <c r="N34" s="20" t="n">
        <v>0</v>
      </c>
      <c r="O34" s="18" t="n">
        <v>0</v>
      </c>
      <c r="P34" s="20" t="n">
        <v>0</v>
      </c>
      <c r="Q34" s="18" t="n">
        <v>3.30518838</v>
      </c>
      <c r="R34" s="20" t="n">
        <v>0.9350258299999999</v>
      </c>
    </row>
    <row r="35" spans="1:18">
      <c r="A35" s="15" t="s">
        <v>377</v>
      </c>
      <c r="B35" s="17" t="n">
        <v>2901</v>
      </c>
      <c r="C35" s="18">
        <f>(2521.0/B35*100)</f>
        <v/>
      </c>
      <c r="D35" s="19" t="n">
        <v>380</v>
      </c>
      <c r="E35" s="18" t="n">
        <v>69.23286787000001</v>
      </c>
      <c r="F35" s="20" t="n">
        <v>2.95740721</v>
      </c>
      <c r="G35" s="18" t="n">
        <v>26.4717817</v>
      </c>
      <c r="H35" s="20" t="n">
        <v>2.7650443</v>
      </c>
      <c r="I35" s="18" t="s">
        <v>349</v>
      </c>
      <c r="J35" s="20" t="s">
        <v>349</v>
      </c>
      <c r="K35" s="18" t="n">
        <v>0.19942994</v>
      </c>
      <c r="L35" s="20" t="n">
        <v>0.1427746</v>
      </c>
      <c r="M35" s="18" t="n">
        <v>0</v>
      </c>
      <c r="N35" s="20" t="n">
        <v>0</v>
      </c>
      <c r="O35" s="18" t="n">
        <v>0</v>
      </c>
      <c r="P35" s="20" t="n">
        <v>0</v>
      </c>
      <c r="Q35" s="18" t="n">
        <v>4.0959205</v>
      </c>
      <c r="R35" s="20" t="n">
        <v>1.18282638</v>
      </c>
    </row>
    <row r="36" spans="1:18">
      <c r="A36" s="15" t="s">
        <v>378</v>
      </c>
      <c r="B36" s="17" t="n">
        <v>3404</v>
      </c>
      <c r="C36" s="18">
        <f>(2991.0/B36*100)</f>
        <v/>
      </c>
      <c r="D36" s="19" t="n">
        <v>413</v>
      </c>
      <c r="E36" s="18" t="n">
        <v>82.63430248</v>
      </c>
      <c r="F36" s="20" t="n">
        <v>1.83229118</v>
      </c>
      <c r="G36" s="18" t="n">
        <v>12.51167541</v>
      </c>
      <c r="H36" s="20" t="n">
        <v>1.76828546</v>
      </c>
      <c r="I36" s="18" t="s">
        <v>349</v>
      </c>
      <c r="J36" s="20" t="s">
        <v>349</v>
      </c>
      <c r="K36" s="18" t="n">
        <v>0.3976262</v>
      </c>
      <c r="L36" s="20" t="n">
        <v>0.35486872</v>
      </c>
      <c r="M36" s="18" t="n">
        <v>0</v>
      </c>
      <c r="N36" s="20" t="n">
        <v>0</v>
      </c>
      <c r="O36" s="18" t="n">
        <v>0</v>
      </c>
      <c r="P36" s="20" t="n">
        <v>0</v>
      </c>
      <c r="Q36" s="18" t="n">
        <v>4.45639591</v>
      </c>
      <c r="R36" s="20" t="n">
        <v>1.07129634</v>
      </c>
    </row>
    <row r="37" spans="1:18">
      <c r="A37" s="15" t="s">
        <v>379</v>
      </c>
      <c r="B37" s="17" t="n">
        <v>2731</v>
      </c>
      <c r="C37" s="18">
        <f>(2395.0/B37*100)</f>
        <v/>
      </c>
      <c r="D37" s="19" t="n">
        <v>336</v>
      </c>
      <c r="E37" s="18" t="n">
        <v>73.61311994</v>
      </c>
      <c r="F37" s="20" t="n">
        <v>2.67623491</v>
      </c>
      <c r="G37" s="18" t="n">
        <v>20.94073114</v>
      </c>
      <c r="H37" s="20" t="n">
        <v>2.35772827</v>
      </c>
      <c r="I37" s="18" t="s">
        <v>349</v>
      </c>
      <c r="J37" s="20" t="s">
        <v>349</v>
      </c>
      <c r="K37" s="18" t="n">
        <v>0.54275822</v>
      </c>
      <c r="L37" s="20" t="n">
        <v>0.3854907</v>
      </c>
      <c r="M37" s="18" t="n">
        <v>0</v>
      </c>
      <c r="N37" s="20" t="n">
        <v>0</v>
      </c>
      <c r="O37" s="18" t="n">
        <v>0</v>
      </c>
      <c r="P37" s="20" t="n">
        <v>0</v>
      </c>
      <c r="Q37" s="18" t="n">
        <v>4.9033907</v>
      </c>
      <c r="R37" s="20" t="n">
        <v>1.25982549</v>
      </c>
    </row>
    <row r="38" spans="1:18">
      <c r="A38" s="15" t="s">
        <v>380</v>
      </c>
      <c r="B38" s="17" t="n">
        <v>2807</v>
      </c>
      <c r="C38" s="18">
        <f>(2331.0/B38*100)</f>
        <v/>
      </c>
      <c r="D38" s="19" t="n">
        <v>476</v>
      </c>
      <c r="E38" s="18" t="n">
        <v>59.14241009</v>
      </c>
      <c r="F38" s="20" t="n">
        <v>2.2060199</v>
      </c>
      <c r="G38" s="18" t="n">
        <v>37.94376292</v>
      </c>
      <c r="H38" s="20" t="n">
        <v>2.34728736</v>
      </c>
      <c r="I38" s="18" t="s">
        <v>349</v>
      </c>
      <c r="J38" s="20" t="s">
        <v>349</v>
      </c>
      <c r="K38" s="18" t="n">
        <v>0.95332225</v>
      </c>
      <c r="L38" s="20" t="n">
        <v>0.44757082</v>
      </c>
      <c r="M38" s="18" t="n">
        <v>0</v>
      </c>
      <c r="N38" s="20" t="n">
        <v>0</v>
      </c>
      <c r="O38" s="18" t="n">
        <v>0</v>
      </c>
      <c r="P38" s="20" t="n">
        <v>0</v>
      </c>
      <c r="Q38" s="18" t="n">
        <v>1.96050474</v>
      </c>
      <c r="R38" s="20" t="n">
        <v>0.5920829</v>
      </c>
    </row>
    <row r="39" spans="1:18">
      <c r="A39" s="15" t="s">
        <v>381</v>
      </c>
      <c r="B39" s="17" t="n">
        <v>2938</v>
      </c>
      <c r="C39" s="18">
        <f>(2602.0/B39*100)</f>
        <v/>
      </c>
      <c r="D39" s="19" t="n">
        <v>336</v>
      </c>
      <c r="E39" s="18" t="n">
        <v>75.35107917000001</v>
      </c>
      <c r="F39" s="20" t="n">
        <v>3.48068723</v>
      </c>
      <c r="G39" s="18" t="n">
        <v>21.9954916</v>
      </c>
      <c r="H39" s="20" t="n">
        <v>3.61395608</v>
      </c>
      <c r="I39" s="18" t="s">
        <v>349</v>
      </c>
      <c r="J39" s="20" t="s">
        <v>349</v>
      </c>
      <c r="K39" s="18" t="n">
        <v>1.26148248</v>
      </c>
      <c r="L39" s="20" t="n">
        <v>0.61169991</v>
      </c>
      <c r="M39" s="18" t="n">
        <v>0</v>
      </c>
      <c r="N39" s="20" t="n">
        <v>0</v>
      </c>
      <c r="O39" s="18" t="n">
        <v>0</v>
      </c>
      <c r="P39" s="20" t="n">
        <v>0</v>
      </c>
      <c r="Q39" s="18" t="n">
        <v>1.39194674</v>
      </c>
      <c r="R39" s="20" t="n">
        <v>0.58888517</v>
      </c>
    </row>
    <row r="40" spans="1:18">
      <c r="A40" s="15" t="s">
        <v>382</v>
      </c>
      <c r="B40" s="17" t="n">
        <v>6922</v>
      </c>
      <c r="C40" s="18">
        <f>(6094.0/B40*100)</f>
        <v/>
      </c>
      <c r="D40" s="19" t="n">
        <v>828</v>
      </c>
      <c r="E40" s="18" t="n">
        <v>78.23297377999999</v>
      </c>
      <c r="F40" s="20" t="n">
        <v>2.35860249</v>
      </c>
      <c r="G40" s="18" t="n">
        <v>17.47947091</v>
      </c>
      <c r="H40" s="20" t="n">
        <v>1.96542165</v>
      </c>
      <c r="I40" s="18" t="s">
        <v>349</v>
      </c>
      <c r="J40" s="20" t="s">
        <v>349</v>
      </c>
      <c r="K40" s="18" t="n">
        <v>0.04021329</v>
      </c>
      <c r="L40" s="20" t="n">
        <v>0.02905333</v>
      </c>
      <c r="M40" s="18" t="n">
        <v>0</v>
      </c>
      <c r="N40" s="20" t="n">
        <v>0</v>
      </c>
      <c r="O40" s="18" t="n">
        <v>0</v>
      </c>
      <c r="P40" s="20" t="n">
        <v>0</v>
      </c>
      <c r="Q40" s="18" t="n">
        <v>4.24734202</v>
      </c>
      <c r="R40" s="20" t="n">
        <v>1.02633288</v>
      </c>
    </row>
    <row r="41" spans="1:18">
      <c r="A41" s="15" t="s">
        <v>383</v>
      </c>
      <c r="B41" s="17" t="n">
        <v>2854</v>
      </c>
      <c r="C41" s="18">
        <f>(2513.0/B41*100)</f>
        <v/>
      </c>
      <c r="D41" s="19" t="n">
        <v>341</v>
      </c>
      <c r="E41" s="18" t="n">
        <v>88.93735587</v>
      </c>
      <c r="F41" s="20" t="n">
        <v>1.70457778</v>
      </c>
      <c r="G41" s="18" t="n">
        <v>8.91308753</v>
      </c>
      <c r="H41" s="20" t="n">
        <v>1.50698819</v>
      </c>
      <c r="I41" s="18" t="s">
        <v>349</v>
      </c>
      <c r="J41" s="20" t="s">
        <v>349</v>
      </c>
      <c r="K41" s="18" t="n">
        <v>0.2676275</v>
      </c>
      <c r="L41" s="20" t="n">
        <v>0.24322774</v>
      </c>
      <c r="M41" s="18" t="n">
        <v>0</v>
      </c>
      <c r="N41" s="20" t="n">
        <v>0</v>
      </c>
      <c r="O41" s="18" t="n">
        <v>0</v>
      </c>
      <c r="P41" s="20" t="n">
        <v>0</v>
      </c>
      <c r="Q41" s="18" t="n">
        <v>1.88192909</v>
      </c>
      <c r="R41" s="20" t="n">
        <v>0.61630695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(10894.0/B46*100)</f>
        <v/>
      </c>
      <c r="D46" s="19" t="n">
        <v>1179</v>
      </c>
      <c r="E46" s="18" t="n">
        <v>86.56662698</v>
      </c>
      <c r="F46" s="20" t="n">
        <v>1.4323439</v>
      </c>
      <c r="G46" s="18" t="n">
        <v>3.21203452</v>
      </c>
      <c r="H46" s="20" t="n">
        <v>0.91356351</v>
      </c>
      <c r="I46" s="18" t="s">
        <v>349</v>
      </c>
      <c r="J46" s="20" t="s">
        <v>349</v>
      </c>
      <c r="K46" s="18" t="n">
        <v>2.13301612</v>
      </c>
      <c r="L46" s="20" t="n">
        <v>0.58580848</v>
      </c>
      <c r="M46" s="18" t="n">
        <v>0</v>
      </c>
      <c r="N46" s="20" t="n">
        <v>0</v>
      </c>
      <c r="O46" s="18" t="n">
        <v>0</v>
      </c>
      <c r="P46" s="20" t="n">
        <v>0</v>
      </c>
      <c r="Q46" s="18" t="n">
        <v>8.088322379999999</v>
      </c>
      <c r="R46" s="20" t="n">
        <v>1.00766844</v>
      </c>
    </row>
    <row r="47" spans="1:18">
      <c r="A47" s="15" t="s">
        <v>389</v>
      </c>
      <c r="B47" s="17" t="n">
        <v>2823</v>
      </c>
      <c r="C47" s="18">
        <f>(2483.0/B47*100)</f>
        <v/>
      </c>
      <c r="D47" s="19" t="n">
        <v>340</v>
      </c>
      <c r="E47" s="18" t="n">
        <v>78.99985565</v>
      </c>
      <c r="F47" s="20" t="n">
        <v>2.12043995</v>
      </c>
      <c r="G47" s="18" t="n">
        <v>9.89398508</v>
      </c>
      <c r="H47" s="20" t="n">
        <v>1.70290928</v>
      </c>
      <c r="I47" s="18" t="s">
        <v>349</v>
      </c>
      <c r="J47" s="20" t="s">
        <v>349</v>
      </c>
      <c r="K47" s="18" t="n">
        <v>0.60854097</v>
      </c>
      <c r="L47" s="20" t="n">
        <v>0.39480471</v>
      </c>
      <c r="M47" s="18" t="n">
        <v>0</v>
      </c>
      <c r="N47" s="20" t="n">
        <v>0</v>
      </c>
      <c r="O47" s="18" t="n">
        <v>0</v>
      </c>
      <c r="P47" s="20" t="n">
        <v>0</v>
      </c>
      <c r="Q47" s="18" t="n">
        <v>10.4976183</v>
      </c>
      <c r="R47" s="20" t="n">
        <v>1.65227884</v>
      </c>
    </row>
    <row r="48" spans="1:18">
      <c r="A48" s="15" t="s">
        <v>390</v>
      </c>
      <c r="B48" s="17" t="n">
        <v>4682</v>
      </c>
      <c r="C48" s="18">
        <f>(4109.0/B48*100)</f>
        <v/>
      </c>
      <c r="D48" s="19" t="n">
        <v>573</v>
      </c>
      <c r="E48" s="18" t="n">
        <v>52.76356411</v>
      </c>
      <c r="F48" s="20" t="n">
        <v>3.38556998</v>
      </c>
      <c r="G48" s="18" t="n">
        <v>46.58843351</v>
      </c>
      <c r="H48" s="20" t="n">
        <v>3.42895613</v>
      </c>
      <c r="I48" s="18" t="s">
        <v>349</v>
      </c>
      <c r="J48" s="20" t="s">
        <v>349</v>
      </c>
      <c r="K48" s="18" t="n">
        <v>0.35022305</v>
      </c>
      <c r="L48" s="20" t="n">
        <v>0.3397783</v>
      </c>
      <c r="M48" s="18" t="n">
        <v>0</v>
      </c>
      <c r="N48" s="20" t="n">
        <v>0</v>
      </c>
      <c r="O48" s="18" t="n">
        <v>0</v>
      </c>
      <c r="P48" s="20" t="n">
        <v>0</v>
      </c>
      <c r="Q48" s="18" t="n">
        <v>0.29777933</v>
      </c>
      <c r="R48" s="20" t="n">
        <v>0.28653174</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(5452.0/B50*100)</f>
        <v/>
      </c>
      <c r="D50" s="19" t="n">
        <v>706</v>
      </c>
      <c r="E50" s="18" t="n">
        <v>91.48487600999999</v>
      </c>
      <c r="F50" s="20" t="n">
        <v>1.39575087</v>
      </c>
      <c r="G50" s="18" t="n">
        <v>2.62967197</v>
      </c>
      <c r="H50" s="20" t="n">
        <v>0.73387333</v>
      </c>
      <c r="I50" s="18" t="s">
        <v>349</v>
      </c>
      <c r="J50" s="20" t="s">
        <v>349</v>
      </c>
      <c r="K50" s="18" t="n">
        <v>2.43792229</v>
      </c>
      <c r="L50" s="20" t="n">
        <v>0.73326708</v>
      </c>
      <c r="M50" s="18" t="n">
        <v>0</v>
      </c>
      <c r="N50" s="20" t="n">
        <v>0</v>
      </c>
      <c r="O50" s="18" t="n">
        <v>0</v>
      </c>
      <c r="P50" s="20" t="n">
        <v>0</v>
      </c>
      <c r="Q50" s="18" t="n">
        <v>3.44752973</v>
      </c>
      <c r="R50" s="20" t="n">
        <v>1.04303819</v>
      </c>
    </row>
    <row r="51" spans="1:18">
      <c r="A51" s="15" t="s">
        <v>393</v>
      </c>
      <c r="B51" s="17" t="n">
        <v>3494</v>
      </c>
      <c r="C51" s="18">
        <f>(3139.0/B51*100)</f>
        <v/>
      </c>
      <c r="D51" s="19" t="n">
        <v>355</v>
      </c>
      <c r="E51" s="18" t="n">
        <v>91.08011895999999</v>
      </c>
      <c r="F51" s="20" t="n">
        <v>1.34703698</v>
      </c>
      <c r="G51" s="18" t="n">
        <v>3.74739522</v>
      </c>
      <c r="H51" s="20" t="n">
        <v>0.97845291</v>
      </c>
      <c r="I51" s="18" t="s">
        <v>349</v>
      </c>
      <c r="J51" s="20" t="s">
        <v>349</v>
      </c>
      <c r="K51" s="18" t="n">
        <v>0.54424806</v>
      </c>
      <c r="L51" s="20" t="n">
        <v>0.38868563</v>
      </c>
      <c r="M51" s="18" t="n">
        <v>0</v>
      </c>
      <c r="N51" s="20" t="n">
        <v>0</v>
      </c>
      <c r="O51" s="18" t="n">
        <v>0</v>
      </c>
      <c r="P51" s="20" t="n">
        <v>0</v>
      </c>
      <c r="Q51" s="18" t="n">
        <v>4.62823776</v>
      </c>
      <c r="R51" s="20" t="n">
        <v>1.06952547</v>
      </c>
    </row>
    <row r="52" spans="1:18">
      <c r="A52" s="15" t="s">
        <v>394</v>
      </c>
      <c r="B52" s="17" t="n">
        <v>3013</v>
      </c>
      <c r="C52" s="18">
        <f>(2654.0/B52*100)</f>
        <v/>
      </c>
      <c r="D52" s="19" t="n">
        <v>359</v>
      </c>
      <c r="E52" s="18" t="n">
        <v>83.90493515999999</v>
      </c>
      <c r="F52" s="20" t="n">
        <v>2.06243572</v>
      </c>
      <c r="G52" s="18" t="n">
        <v>11.18644472</v>
      </c>
      <c r="H52" s="20" t="n">
        <v>1.7092083</v>
      </c>
      <c r="I52" s="18" t="s">
        <v>349</v>
      </c>
      <c r="J52" s="20" t="s">
        <v>349</v>
      </c>
      <c r="K52" s="18" t="n">
        <v>0.29579244</v>
      </c>
      <c r="L52" s="20" t="n">
        <v>0.29729901</v>
      </c>
      <c r="M52" s="18" t="n">
        <v>0</v>
      </c>
      <c r="N52" s="20" t="n">
        <v>0</v>
      </c>
      <c r="O52" s="18" t="n">
        <v>0</v>
      </c>
      <c r="P52" s="20" t="n">
        <v>0</v>
      </c>
      <c r="Q52" s="18" t="n">
        <v>4.61282767</v>
      </c>
      <c r="R52" s="20" t="n">
        <v>1.11534155</v>
      </c>
    </row>
    <row r="53" spans="1:18">
      <c r="A53" s="15" t="s">
        <v>395</v>
      </c>
      <c r="B53" s="17" t="n">
        <v>2760</v>
      </c>
      <c r="C53" s="18">
        <f>(2434.0/B53*100)</f>
        <v/>
      </c>
      <c r="D53" s="19" t="n">
        <v>326</v>
      </c>
      <c r="E53" s="18" t="n">
        <v>83.70696544</v>
      </c>
      <c r="F53" s="20" t="n">
        <v>2.04404384</v>
      </c>
      <c r="G53" s="18" t="n">
        <v>10.28920756</v>
      </c>
      <c r="H53" s="20" t="n">
        <v>1.6680201</v>
      </c>
      <c r="I53" s="18" t="s">
        <v>349</v>
      </c>
      <c r="J53" s="20" t="s">
        <v>349</v>
      </c>
      <c r="K53" s="18" t="n">
        <v>0.56331548</v>
      </c>
      <c r="L53" s="20" t="n">
        <v>0.39551487</v>
      </c>
      <c r="M53" s="18" t="n">
        <v>0</v>
      </c>
      <c r="N53" s="20" t="n">
        <v>0</v>
      </c>
      <c r="O53" s="18" t="n">
        <v>0</v>
      </c>
      <c r="P53" s="20" t="n">
        <v>0</v>
      </c>
      <c r="Q53" s="18" t="n">
        <v>5.44051152</v>
      </c>
      <c r="R53" s="20" t="n">
        <v>1.37505517</v>
      </c>
    </row>
    <row r="54" spans="1:18">
      <c r="A54" s="15" t="s">
        <v>396</v>
      </c>
      <c r="B54" s="17" t="n">
        <v>2474</v>
      </c>
      <c r="C54" s="18">
        <f>(2046.0/B54*100)</f>
        <v/>
      </c>
      <c r="D54" s="19" t="n">
        <v>428</v>
      </c>
      <c r="E54" s="18" t="n">
        <v>73.91984416</v>
      </c>
      <c r="F54" s="20" t="n">
        <v>2.138799</v>
      </c>
      <c r="G54" s="18" t="n">
        <v>0</v>
      </c>
      <c r="H54" s="20" t="n">
        <v>0</v>
      </c>
      <c r="I54" s="18" t="s">
        <v>349</v>
      </c>
      <c r="J54" s="20" t="s">
        <v>349</v>
      </c>
      <c r="K54" s="18" t="n">
        <v>12.84845915</v>
      </c>
      <c r="L54" s="20" t="n">
        <v>1.71547145</v>
      </c>
      <c r="M54" s="18" t="n">
        <v>0</v>
      </c>
      <c r="N54" s="20" t="n">
        <v>0</v>
      </c>
      <c r="O54" s="18" t="n">
        <v>0</v>
      </c>
      <c r="P54" s="20" t="n">
        <v>0</v>
      </c>
      <c r="Q54" s="18" t="n">
        <v>13.2316967</v>
      </c>
      <c r="R54" s="20" t="n">
        <v>1.7546383</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(2349.0/B56*100)</f>
        <v/>
      </c>
      <c r="D56" s="19" t="n">
        <v>326</v>
      </c>
      <c r="E56" s="18" t="n">
        <v>56.55983183</v>
      </c>
      <c r="F56" s="20" t="n">
        <v>2.28034241</v>
      </c>
      <c r="G56" s="18" t="n">
        <v>43.44016817</v>
      </c>
      <c r="H56" s="20" t="n">
        <v>2.28034241</v>
      </c>
      <c r="I56" s="18" t="s">
        <v>349</v>
      </c>
      <c r="J56" s="20" t="s">
        <v>349</v>
      </c>
      <c r="K56" s="18" t="n">
        <v>0</v>
      </c>
      <c r="L56" s="20" t="n">
        <v>0</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(2792.0/B61*100)</f>
        <v/>
      </c>
      <c r="D61" s="19" t="n">
        <v>409</v>
      </c>
      <c r="E61" s="18" t="n">
        <v>70.52081783</v>
      </c>
      <c r="F61" s="20" t="n">
        <v>2.49198064</v>
      </c>
      <c r="G61" s="18" t="n">
        <v>26.51137495</v>
      </c>
      <c r="H61" s="20" t="n">
        <v>2.43855111</v>
      </c>
      <c r="I61" s="18" t="s">
        <v>349</v>
      </c>
      <c r="J61" s="20" t="s">
        <v>349</v>
      </c>
      <c r="K61" s="18" t="n">
        <v>0.7166898900000001</v>
      </c>
      <c r="L61" s="20" t="n">
        <v>0.69841643</v>
      </c>
      <c r="M61" s="18" t="n">
        <v>0</v>
      </c>
      <c r="N61" s="20" t="n">
        <v>0</v>
      </c>
      <c r="O61" s="18" t="n">
        <v>0</v>
      </c>
      <c r="P61" s="20" t="n">
        <v>0</v>
      </c>
      <c r="Q61" s="18" t="n">
        <v>2.25111733</v>
      </c>
      <c r="R61" s="20" t="n">
        <v>0.80301683</v>
      </c>
    </row>
    <row r="62" spans="1:18">
      <c r="A62" s="15" t="s">
        <v>404</v>
      </c>
      <c r="B62" s="17" t="n">
        <v>2230</v>
      </c>
      <c r="C62" s="18">
        <f>(1960.0/B62*100)</f>
        <v/>
      </c>
      <c r="D62" s="19" t="n">
        <v>270</v>
      </c>
      <c r="E62" s="18" t="n">
        <v>58.91626777</v>
      </c>
      <c r="F62" s="20" t="n">
        <v>2.57847512</v>
      </c>
      <c r="G62" s="18" t="n">
        <v>40.32438923</v>
      </c>
      <c r="H62" s="20" t="n">
        <v>2.55349138</v>
      </c>
      <c r="I62" s="18" t="s">
        <v>349</v>
      </c>
      <c r="J62" s="20" t="s">
        <v>349</v>
      </c>
      <c r="K62" s="18" t="n">
        <v>0</v>
      </c>
      <c r="L62" s="20" t="n">
        <v>0</v>
      </c>
      <c r="M62" s="18" t="n">
        <v>0</v>
      </c>
      <c r="N62" s="20" t="n">
        <v>0</v>
      </c>
      <c r="O62" s="18" t="n">
        <v>0</v>
      </c>
      <c r="P62" s="20" t="n">
        <v>0</v>
      </c>
      <c r="Q62" s="18" t="n">
        <v>0.759343</v>
      </c>
      <c r="R62" s="20" t="n">
        <v>0.5376230400000001</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(2442.0/B66*100)</f>
        <v/>
      </c>
      <c r="D66" s="19" t="n">
        <v>329</v>
      </c>
      <c r="E66" s="18" t="n">
        <v>79.55096396</v>
      </c>
      <c r="F66" s="20" t="n">
        <v>2.15110763</v>
      </c>
      <c r="G66" s="18" t="n">
        <v>8.91918435</v>
      </c>
      <c r="H66" s="20" t="n">
        <v>1.67306591</v>
      </c>
      <c r="I66" s="18" t="s">
        <v>349</v>
      </c>
      <c r="J66" s="20" t="s">
        <v>349</v>
      </c>
      <c r="K66" s="18" t="n">
        <v>0.80392008</v>
      </c>
      <c r="L66" s="20" t="n">
        <v>0.4611275</v>
      </c>
      <c r="M66" s="18" t="n">
        <v>0</v>
      </c>
      <c r="N66" s="20" t="n">
        <v>0</v>
      </c>
      <c r="O66" s="18" t="n">
        <v>0</v>
      </c>
      <c r="P66" s="20" t="n">
        <v>0</v>
      </c>
      <c r="Q66" s="18" t="n">
        <v>10.72593161</v>
      </c>
      <c r="R66" s="20" t="n">
        <v>1.5135806</v>
      </c>
    </row>
    <row r="67" spans="1:18">
      <c r="A67" s="15" t="s">
        <v>409</v>
      </c>
      <c r="B67" s="17" t="n">
        <v>3460</v>
      </c>
      <c r="C67" s="18">
        <f>(3095.0/B67*100)</f>
        <v/>
      </c>
      <c r="D67" s="19" t="n">
        <v>365</v>
      </c>
      <c r="E67" s="18" t="n">
        <v>93.19971696</v>
      </c>
      <c r="F67" s="20" t="n">
        <v>1.36176939</v>
      </c>
      <c r="G67" s="18" t="n">
        <v>2.5819648</v>
      </c>
      <c r="H67" s="20" t="n">
        <v>0.79815678</v>
      </c>
      <c r="I67" s="18" t="s">
        <v>349</v>
      </c>
      <c r="J67" s="20" t="s">
        <v>349</v>
      </c>
      <c r="K67" s="18" t="n">
        <v>0.70977302</v>
      </c>
      <c r="L67" s="20" t="n">
        <v>0.71233713</v>
      </c>
      <c r="M67" s="18" t="n">
        <v>0</v>
      </c>
      <c r="N67" s="20" t="n">
        <v>0</v>
      </c>
      <c r="O67" s="18" t="n">
        <v>0</v>
      </c>
      <c r="P67" s="20" t="n">
        <v>0</v>
      </c>
      <c r="Q67" s="18" t="n">
        <v>3.50854522</v>
      </c>
      <c r="R67" s="20" t="n">
        <v>0.98113629</v>
      </c>
    </row>
    <row r="68" spans="1:18">
      <c r="A68" s="15" t="s">
        <v>410</v>
      </c>
      <c r="B68" s="17" t="n">
        <v>6034</v>
      </c>
      <c r="C68" s="18">
        <f>(5046.0/B68*100)</f>
        <v/>
      </c>
      <c r="D68" s="19" t="n">
        <v>988</v>
      </c>
      <c r="E68" s="18" t="n">
        <v>89.0801177</v>
      </c>
      <c r="F68" s="20" t="n">
        <v>1.00782547</v>
      </c>
      <c r="G68" s="18" t="n">
        <v>5.48542274</v>
      </c>
      <c r="H68" s="20" t="n">
        <v>0.82270601</v>
      </c>
      <c r="I68" s="18" t="s">
        <v>349</v>
      </c>
      <c r="J68" s="20" t="s">
        <v>349</v>
      </c>
      <c r="K68" s="18" t="n">
        <v>2.28907397</v>
      </c>
      <c r="L68" s="20" t="n">
        <v>0.39665528</v>
      </c>
      <c r="M68" s="18" t="n">
        <v>0</v>
      </c>
      <c r="N68" s="20" t="n">
        <v>0</v>
      </c>
      <c r="O68" s="18" t="n">
        <v>0</v>
      </c>
      <c r="P68" s="20" t="n">
        <v>0</v>
      </c>
      <c r="Q68" s="18" t="n">
        <v>3.14538559</v>
      </c>
      <c r="R68" s="20" t="n">
        <v>0.60704493</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(2779.0/B70*100)</f>
        <v/>
      </c>
      <c r="D70" s="19" t="n">
        <v>328</v>
      </c>
      <c r="E70" s="18" t="n">
        <v>76.52698152000001</v>
      </c>
      <c r="F70" s="20" t="n">
        <v>2.9779829</v>
      </c>
      <c r="G70" s="18" t="n">
        <v>21.14321191</v>
      </c>
      <c r="H70" s="20" t="n">
        <v>2.76692156</v>
      </c>
      <c r="I70" s="18" t="s">
        <v>349</v>
      </c>
      <c r="J70" s="20" t="s">
        <v>349</v>
      </c>
      <c r="K70" s="18" t="n">
        <v>1.27399159</v>
      </c>
      <c r="L70" s="20" t="n">
        <v>0.47378999</v>
      </c>
      <c r="M70" s="18" t="n">
        <v>0</v>
      </c>
      <c r="N70" s="20" t="n">
        <v>0</v>
      </c>
      <c r="O70" s="18" t="n">
        <v>0</v>
      </c>
      <c r="P70" s="20" t="n">
        <v>0</v>
      </c>
      <c r="Q70" s="18" t="n">
        <v>1.05581499</v>
      </c>
      <c r="R70" s="20" t="n">
        <v>0.61215099</v>
      </c>
    </row>
    <row r="71" spans="1:18">
      <c r="A71" s="15" t="s">
        <v>413</v>
      </c>
      <c r="B71" s="17" t="n">
        <v>2973</v>
      </c>
      <c r="C71" s="18">
        <f>(2637.0/B71*100)</f>
        <v/>
      </c>
      <c r="D71" s="19" t="n">
        <v>336</v>
      </c>
      <c r="E71" s="18" t="n">
        <v>41.60754841</v>
      </c>
      <c r="F71" s="20" t="n">
        <v>2.73036081</v>
      </c>
      <c r="G71" s="18" t="n">
        <v>58.39245159</v>
      </c>
      <c r="H71" s="20" t="n">
        <v>2.73036081</v>
      </c>
      <c r="I71" s="18" t="s">
        <v>349</v>
      </c>
      <c r="J71" s="20" t="s">
        <v>349</v>
      </c>
      <c r="K71" s="18" t="n">
        <v>0</v>
      </c>
      <c r="L71" s="20" t="n">
        <v>0</v>
      </c>
      <c r="M71" s="18" t="n">
        <v>0</v>
      </c>
      <c r="N71" s="20" t="n">
        <v>0</v>
      </c>
      <c r="O71" s="18" t="n">
        <v>0</v>
      </c>
      <c r="P71" s="20" t="n">
        <v>0</v>
      </c>
      <c r="Q71" s="18" t="n">
        <v>0</v>
      </c>
      <c r="R71" s="20" t="n">
        <v>0</v>
      </c>
    </row>
    <row r="72" spans="1:18">
      <c r="A72" s="15" t="s">
        <v>414</v>
      </c>
      <c r="B72" s="17" t="n">
        <v>3819</v>
      </c>
      <c r="C72" s="18">
        <f>(3352.0/B72*100)</f>
        <v/>
      </c>
      <c r="D72" s="19" t="n">
        <v>467</v>
      </c>
      <c r="E72" s="18" t="n">
        <v>48.09050906</v>
      </c>
      <c r="F72" s="20" t="n">
        <v>2.39450665</v>
      </c>
      <c r="G72" s="18" t="n">
        <v>50.53527959</v>
      </c>
      <c r="H72" s="20" t="n">
        <v>2.45673733</v>
      </c>
      <c r="I72" s="18" t="s">
        <v>349</v>
      </c>
      <c r="J72" s="20" t="s">
        <v>349</v>
      </c>
      <c r="K72" s="18" t="n">
        <v>0.14669823</v>
      </c>
      <c r="L72" s="20" t="n">
        <v>0.14818311</v>
      </c>
      <c r="M72" s="18" t="n">
        <v>0</v>
      </c>
      <c r="N72" s="20" t="n">
        <v>0</v>
      </c>
      <c r="O72" s="18" t="n">
        <v>0</v>
      </c>
      <c r="P72" s="20" t="n">
        <v>0</v>
      </c>
      <c r="Q72" s="18" t="n">
        <v>1.22751312</v>
      </c>
      <c r="R72" s="20" t="n">
        <v>0.5060192</v>
      </c>
    </row>
    <row r="73" spans="1:18">
      <c r="A73" s="15" t="s">
        <v>415</v>
      </c>
      <c r="B73" s="17" t="n">
        <v>4652</v>
      </c>
      <c r="C73" s="18">
        <f>(4091.0/B73*100)</f>
        <v/>
      </c>
      <c r="D73" s="19" t="n">
        <v>561</v>
      </c>
      <c r="E73" s="18" t="n">
        <v>92.88329837000001</v>
      </c>
      <c r="F73" s="20" t="n">
        <v>1.23262706</v>
      </c>
      <c r="G73" s="18" t="n">
        <v>6.06968463</v>
      </c>
      <c r="H73" s="20" t="n">
        <v>1.11548938</v>
      </c>
      <c r="I73" s="18" t="s">
        <v>349</v>
      </c>
      <c r="J73" s="20" t="s">
        <v>349</v>
      </c>
      <c r="K73" s="18" t="n">
        <v>0.00804421</v>
      </c>
      <c r="L73" s="20" t="n">
        <v>0.008071719999999999</v>
      </c>
      <c r="M73" s="18" t="n">
        <v>0</v>
      </c>
      <c r="N73" s="20" t="n">
        <v>0</v>
      </c>
      <c r="O73" s="18" t="n">
        <v>0</v>
      </c>
      <c r="P73" s="20" t="n">
        <v>0</v>
      </c>
      <c r="Q73" s="18" t="n">
        <v>1.03897279</v>
      </c>
      <c r="R73" s="20" t="n">
        <v>0.42567733</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(2625.0/B75*100)</f>
        <v/>
      </c>
      <c r="D75" s="19" t="n">
        <v>344</v>
      </c>
      <c r="E75" s="18" t="n">
        <v>84.75935436</v>
      </c>
      <c r="F75" s="20" t="n">
        <v>2.25363389</v>
      </c>
      <c r="G75" s="18" t="n">
        <v>4.15299304</v>
      </c>
      <c r="H75" s="20" t="n">
        <v>0.97707016</v>
      </c>
      <c r="I75" s="18" t="s">
        <v>349</v>
      </c>
      <c r="J75" s="20" t="s">
        <v>349</v>
      </c>
      <c r="K75" s="18" t="n">
        <v>5.25732525</v>
      </c>
      <c r="L75" s="20" t="n">
        <v>1.39153443</v>
      </c>
      <c r="M75" s="18" t="n">
        <v>0</v>
      </c>
      <c r="N75" s="20" t="n">
        <v>0</v>
      </c>
      <c r="O75" s="18" t="n">
        <v>0</v>
      </c>
      <c r="P75" s="20" t="n">
        <v>0</v>
      </c>
      <c r="Q75" s="18" t="n">
        <v>5.83032735</v>
      </c>
      <c r="R75" s="20" t="n">
        <v>1.32186821</v>
      </c>
    </row>
    <row r="76" spans="1:18">
      <c r="A76" s="15" t="s">
        <v>418</v>
      </c>
      <c r="B76" s="17" t="n">
        <v>7115</v>
      </c>
      <c r="C76" s="18">
        <f>(6284.0/B76*100)</f>
        <v/>
      </c>
      <c r="D76" s="19" t="n">
        <v>831</v>
      </c>
      <c r="E76" s="18" t="n">
        <v>92.61173719999999</v>
      </c>
      <c r="F76" s="20" t="n">
        <v>1.06777575</v>
      </c>
      <c r="G76" s="18" t="n">
        <v>5.79351358</v>
      </c>
      <c r="H76" s="20" t="n">
        <v>0.97810006</v>
      </c>
      <c r="I76" s="18" t="s">
        <v>349</v>
      </c>
      <c r="J76" s="20" t="s">
        <v>349</v>
      </c>
      <c r="K76" s="18" t="n">
        <v>1.15498289</v>
      </c>
      <c r="L76" s="20" t="n">
        <v>0.41889686</v>
      </c>
      <c r="M76" s="18" t="n">
        <v>0</v>
      </c>
      <c r="N76" s="20" t="n">
        <v>0</v>
      </c>
      <c r="O76" s="18" t="n">
        <v>0</v>
      </c>
      <c r="P76" s="20" t="n">
        <v>0</v>
      </c>
      <c r="Q76" s="18" t="n">
        <v>0.43976633</v>
      </c>
      <c r="R76" s="20" t="n">
        <v>0.21596952</v>
      </c>
    </row>
    <row r="77" spans="1:18">
      <c r="A77" s="15" t="s">
        <v>419</v>
      </c>
      <c r="B77" s="17" t="n">
        <v>3154</v>
      </c>
      <c r="C77" s="18">
        <f>(2785.0/B77*100)</f>
        <v/>
      </c>
      <c r="D77" s="19" t="n">
        <v>369</v>
      </c>
      <c r="E77" s="18" t="n">
        <v>79.95019369000001</v>
      </c>
      <c r="F77" s="20" t="n">
        <v>2.09607783</v>
      </c>
      <c r="G77" s="18" t="n">
        <v>6.53187241</v>
      </c>
      <c r="H77" s="20" t="n">
        <v>1.26483407</v>
      </c>
      <c r="I77" s="18" t="s">
        <v>349</v>
      </c>
      <c r="J77" s="20" t="s">
        <v>349</v>
      </c>
      <c r="K77" s="18" t="n">
        <v>1.69108346</v>
      </c>
      <c r="L77" s="20" t="n">
        <v>0.6995854500000001</v>
      </c>
      <c r="M77" s="18" t="n">
        <v>0</v>
      </c>
      <c r="N77" s="20" t="n">
        <v>0</v>
      </c>
      <c r="O77" s="18" t="n">
        <v>0</v>
      </c>
      <c r="P77" s="20" t="n">
        <v>0</v>
      </c>
      <c r="Q77" s="18" t="n">
        <v>11.82685045</v>
      </c>
      <c r="R77" s="20" t="n">
        <v>1.72739466</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(4129.0/B81*100)</f>
        <v/>
      </c>
      <c r="D81" s="19" t="n">
        <v>569</v>
      </c>
      <c r="E81" s="18" t="n">
        <v>85.36548292000001</v>
      </c>
      <c r="F81" s="20" t="n">
        <v>2.21673416</v>
      </c>
      <c r="G81" s="18" t="n">
        <v>14.00719774</v>
      </c>
      <c r="H81" s="20" t="n">
        <v>2.1510379</v>
      </c>
      <c r="I81" s="18" t="s">
        <v>349</v>
      </c>
      <c r="J81" s="20" t="s">
        <v>349</v>
      </c>
      <c r="K81" s="18" t="n">
        <v>0.28287077</v>
      </c>
      <c r="L81" s="20" t="n">
        <v>0.27999662</v>
      </c>
      <c r="M81" s="18" t="n">
        <v>0</v>
      </c>
      <c r="N81" s="20" t="n">
        <v>0</v>
      </c>
      <c r="O81" s="18" t="n">
        <v>0</v>
      </c>
      <c r="P81" s="20" t="n">
        <v>0</v>
      </c>
      <c r="Q81" s="18" t="n">
        <v>0.34444857</v>
      </c>
      <c r="R81" s="20" t="n">
        <v>0.3303104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(6321.0/B7*100)</f>
        <v/>
      </c>
      <c r="D7" s="19" t="n">
        <v>842</v>
      </c>
      <c r="E7" s="18" t="n">
        <v>15.45315209</v>
      </c>
      <c r="F7" s="20" t="n">
        <v>1.55088951</v>
      </c>
      <c r="G7" s="18" t="n">
        <v>83.76631211</v>
      </c>
      <c r="H7" s="20" t="n">
        <v>1.52757973</v>
      </c>
      <c r="I7" s="18" t="s">
        <v>349</v>
      </c>
      <c r="J7" s="20" t="s">
        <v>349</v>
      </c>
      <c r="K7" s="18" t="n">
        <v>0.7805358</v>
      </c>
      <c r="L7" s="20" t="n">
        <v>0.35400207</v>
      </c>
      <c r="M7" s="18" t="n">
        <v>0</v>
      </c>
      <c r="N7" s="20" t="n">
        <v>0</v>
      </c>
      <c r="O7" s="18" t="n">
        <v>0</v>
      </c>
      <c r="P7" s="20" t="n">
        <v>0</v>
      </c>
      <c r="Q7" s="18" t="n">
        <v>0</v>
      </c>
      <c r="R7" s="20" t="n">
        <v>0</v>
      </c>
    </row>
    <row r="8" spans="1:18">
      <c r="A8" s="15" t="s">
        <v>350</v>
      </c>
      <c r="B8" s="17" t="n">
        <v>3443</v>
      </c>
      <c r="C8" s="18">
        <f>(3035.0/B8*100)</f>
        <v/>
      </c>
      <c r="D8" s="19" t="n">
        <v>408</v>
      </c>
      <c r="E8" s="18" t="n">
        <v>17.66992358</v>
      </c>
      <c r="F8" s="20" t="n">
        <v>2.13620244</v>
      </c>
      <c r="G8" s="18" t="n">
        <v>81.50102586</v>
      </c>
      <c r="H8" s="20" t="n">
        <v>2.19359286</v>
      </c>
      <c r="I8" s="18" t="s">
        <v>349</v>
      </c>
      <c r="J8" s="20" t="s">
        <v>349</v>
      </c>
      <c r="K8" s="18" t="n">
        <v>0.82905056</v>
      </c>
      <c r="L8" s="20" t="n">
        <v>0.50167217</v>
      </c>
      <c r="M8" s="18" t="n">
        <v>0</v>
      </c>
      <c r="N8" s="20" t="n">
        <v>0</v>
      </c>
      <c r="O8" s="18" t="n">
        <v>0</v>
      </c>
      <c r="P8" s="20" t="n">
        <v>0</v>
      </c>
      <c r="Q8" s="18" t="n">
        <v>0</v>
      </c>
      <c r="R8" s="20" t="n">
        <v>0</v>
      </c>
    </row>
    <row r="9" spans="1:18">
      <c r="A9" s="15" t="s">
        <v>351</v>
      </c>
      <c r="B9" s="17" t="n">
        <v>4752</v>
      </c>
      <c r="C9" s="18">
        <f>(4194.0/B9*100)</f>
        <v/>
      </c>
      <c r="D9" s="19" t="n">
        <v>558</v>
      </c>
      <c r="E9" s="18" t="n">
        <v>12.58385352</v>
      </c>
      <c r="F9" s="20" t="n">
        <v>1.42380676</v>
      </c>
      <c r="G9" s="18" t="n">
        <v>86.86799463</v>
      </c>
      <c r="H9" s="20" t="n">
        <v>1.48785466</v>
      </c>
      <c r="I9" s="18" t="s">
        <v>349</v>
      </c>
      <c r="J9" s="20" t="s">
        <v>349</v>
      </c>
      <c r="K9" s="18" t="n">
        <v>0.54815185</v>
      </c>
      <c r="L9" s="20" t="n">
        <v>0.34528705</v>
      </c>
      <c r="M9" s="18" t="n">
        <v>0</v>
      </c>
      <c r="N9" s="20" t="n">
        <v>0</v>
      </c>
      <c r="O9" s="18" t="n">
        <v>0</v>
      </c>
      <c r="P9" s="20" t="n">
        <v>0</v>
      </c>
      <c r="Q9" s="18" t="n">
        <v>0</v>
      </c>
      <c r="R9" s="20" t="n">
        <v>0</v>
      </c>
    </row>
    <row r="10" spans="1:18">
      <c r="A10" s="15" t="s">
        <v>352</v>
      </c>
      <c r="B10" s="17" t="n">
        <v>10022</v>
      </c>
      <c r="C10" s="18">
        <f>(8790.0/B10*100)</f>
        <v/>
      </c>
      <c r="D10" s="19" t="n">
        <v>1232</v>
      </c>
      <c r="E10" s="18" t="n">
        <v>11.61617232</v>
      </c>
      <c r="F10" s="20" t="n">
        <v>1.23711051</v>
      </c>
      <c r="G10" s="18" t="n">
        <v>87.20514802</v>
      </c>
      <c r="H10" s="20" t="n">
        <v>1.23334781</v>
      </c>
      <c r="I10" s="18" t="s">
        <v>349</v>
      </c>
      <c r="J10" s="20" t="s">
        <v>349</v>
      </c>
      <c r="K10" s="18" t="n">
        <v>1.17867966</v>
      </c>
      <c r="L10" s="20" t="n">
        <v>0.45443145</v>
      </c>
      <c r="M10" s="18" t="n">
        <v>0</v>
      </c>
      <c r="N10" s="20" t="n">
        <v>0</v>
      </c>
      <c r="O10" s="18" t="n">
        <v>0</v>
      </c>
      <c r="P10" s="20" t="n">
        <v>0</v>
      </c>
      <c r="Q10" s="18" t="n">
        <v>0</v>
      </c>
      <c r="R10" s="20" t="n">
        <v>0</v>
      </c>
    </row>
    <row r="11" spans="1:18">
      <c r="A11" s="15" t="s">
        <v>353</v>
      </c>
      <c r="B11" s="17" t="n">
        <v>3500</v>
      </c>
      <c r="C11" s="18">
        <f>(3087.0/B11*100)</f>
        <v/>
      </c>
      <c r="D11" s="19" t="n">
        <v>413</v>
      </c>
      <c r="E11" s="18" t="n">
        <v>0</v>
      </c>
      <c r="F11" s="20" t="n">
        <v>0</v>
      </c>
      <c r="G11" s="18" t="n">
        <v>0</v>
      </c>
      <c r="H11" s="20" t="n">
        <v>0</v>
      </c>
      <c r="I11" s="18" t="s">
        <v>349</v>
      </c>
      <c r="J11" s="20" t="s">
        <v>349</v>
      </c>
      <c r="K11" s="18" t="n">
        <v>0</v>
      </c>
      <c r="L11" s="20" t="n">
        <v>0</v>
      </c>
      <c r="M11" s="18" t="n">
        <v>100</v>
      </c>
      <c r="N11" s="20" t="n">
        <v>0</v>
      </c>
      <c r="O11" s="18" t="n">
        <v>0</v>
      </c>
      <c r="P11" s="20" t="n">
        <v>0</v>
      </c>
      <c r="Q11" s="18" t="n">
        <v>0</v>
      </c>
      <c r="R11" s="20" t="n">
        <v>0</v>
      </c>
    </row>
    <row r="12" spans="1:18">
      <c r="A12" s="15" t="s">
        <v>354</v>
      </c>
      <c r="B12" s="17" t="n">
        <v>3422</v>
      </c>
      <c r="C12" s="18">
        <f>(2989.0/B12*100)</f>
        <v/>
      </c>
      <c r="D12" s="19" t="n">
        <v>433</v>
      </c>
      <c r="E12" s="18" t="n">
        <v>6.82332577</v>
      </c>
      <c r="F12" s="20" t="n">
        <v>1.32746627</v>
      </c>
      <c r="G12" s="18" t="n">
        <v>92.79275101</v>
      </c>
      <c r="H12" s="20" t="n">
        <v>1.31203374</v>
      </c>
      <c r="I12" s="18" t="s">
        <v>349</v>
      </c>
      <c r="J12" s="20" t="s">
        <v>349</v>
      </c>
      <c r="K12" s="18" t="n">
        <v>0.38392322</v>
      </c>
      <c r="L12" s="20" t="n">
        <v>0.23101351</v>
      </c>
      <c r="M12" s="18" t="n">
        <v>0</v>
      </c>
      <c r="N12" s="20" t="n">
        <v>0</v>
      </c>
      <c r="O12" s="18" t="n">
        <v>0</v>
      </c>
      <c r="P12" s="20" t="n">
        <v>0</v>
      </c>
      <c r="Q12" s="18" t="n">
        <v>0</v>
      </c>
      <c r="R12" s="20" t="n">
        <v>0</v>
      </c>
    </row>
    <row r="13" spans="1:18">
      <c r="A13" s="15" t="s">
        <v>355</v>
      </c>
      <c r="B13" s="17" t="n">
        <v>3602</v>
      </c>
      <c r="C13" s="18">
        <f>(3164.0/B13*100)</f>
        <v/>
      </c>
      <c r="D13" s="19" t="n">
        <v>438</v>
      </c>
      <c r="E13" s="18" t="n">
        <v>14.96159498</v>
      </c>
      <c r="F13" s="20" t="n">
        <v>2.51901929</v>
      </c>
      <c r="G13" s="18" t="n">
        <v>83.52204718999999</v>
      </c>
      <c r="H13" s="20" t="n">
        <v>2.55064999</v>
      </c>
      <c r="I13" s="18" t="s">
        <v>349</v>
      </c>
      <c r="J13" s="20" t="s">
        <v>349</v>
      </c>
      <c r="K13" s="18" t="n">
        <v>1.51635783</v>
      </c>
      <c r="L13" s="20" t="n">
        <v>0.68142119</v>
      </c>
      <c r="M13" s="18" t="n">
        <v>0</v>
      </c>
      <c r="N13" s="20" t="n">
        <v>0</v>
      </c>
      <c r="O13" s="18" t="n">
        <v>0</v>
      </c>
      <c r="P13" s="20" t="n">
        <v>0</v>
      </c>
      <c r="Q13" s="18" t="n">
        <v>0</v>
      </c>
      <c r="R13" s="20" t="n">
        <v>0</v>
      </c>
    </row>
    <row r="14" spans="1:18">
      <c r="A14" s="15" t="s">
        <v>356</v>
      </c>
      <c r="B14" s="17" t="n">
        <v>2788</v>
      </c>
      <c r="C14" s="18">
        <f>(2431.0/B14*100)</f>
        <v/>
      </c>
      <c r="D14" s="19" t="n">
        <v>357</v>
      </c>
      <c r="E14" s="18" t="n">
        <v>6.79607053</v>
      </c>
      <c r="F14" s="20" t="n">
        <v>1.3475464</v>
      </c>
      <c r="G14" s="18" t="n">
        <v>92.72874159</v>
      </c>
      <c r="H14" s="20" t="n">
        <v>1.41111251</v>
      </c>
      <c r="I14" s="18" t="s">
        <v>349</v>
      </c>
      <c r="J14" s="20" t="s">
        <v>349</v>
      </c>
      <c r="K14" s="18" t="n">
        <v>0.47518787</v>
      </c>
      <c r="L14" s="20" t="n">
        <v>0.33079951</v>
      </c>
      <c r="M14" s="18" t="n">
        <v>0</v>
      </c>
      <c r="N14" s="20" t="n">
        <v>0</v>
      </c>
      <c r="O14" s="18" t="n">
        <v>0</v>
      </c>
      <c r="P14" s="20" t="n">
        <v>0</v>
      </c>
      <c r="Q14" s="18" t="n">
        <v>0</v>
      </c>
      <c r="R14" s="20" t="n">
        <v>0</v>
      </c>
    </row>
    <row r="15" spans="1:18">
      <c r="A15" s="15" t="s">
        <v>357</v>
      </c>
      <c r="B15" s="17" t="n">
        <v>2863</v>
      </c>
      <c r="C15" s="18">
        <f>(2518.0/B15*100)</f>
        <v/>
      </c>
      <c r="D15" s="19" t="n">
        <v>345</v>
      </c>
      <c r="E15" s="18" t="n">
        <v>3.57574178</v>
      </c>
      <c r="F15" s="20" t="n">
        <v>1.02156482</v>
      </c>
      <c r="G15" s="18" t="n">
        <v>96.13916859</v>
      </c>
      <c r="H15" s="20" t="n">
        <v>1.06095574</v>
      </c>
      <c r="I15" s="18" t="s">
        <v>349</v>
      </c>
      <c r="J15" s="20" t="s">
        <v>349</v>
      </c>
      <c r="K15" s="18" t="n">
        <v>0.28508963</v>
      </c>
      <c r="L15" s="20" t="n">
        <v>0.28721491</v>
      </c>
      <c r="M15" s="18" t="n">
        <v>0</v>
      </c>
      <c r="N15" s="20" t="n">
        <v>0</v>
      </c>
      <c r="O15" s="18" t="n">
        <v>0</v>
      </c>
      <c r="P15" s="20" t="n">
        <v>0</v>
      </c>
      <c r="Q15" s="18" t="n">
        <v>0</v>
      </c>
      <c r="R15" s="20" t="n">
        <v>0</v>
      </c>
    </row>
    <row r="16" spans="1:18">
      <c r="A16" s="15" t="s">
        <v>358</v>
      </c>
      <c r="B16" s="17" t="n">
        <v>3111</v>
      </c>
      <c r="C16" s="18">
        <f>(2747.0/B16*100)</f>
        <v/>
      </c>
      <c r="D16" s="19" t="n">
        <v>364</v>
      </c>
      <c r="E16" s="18" t="n">
        <v>12.18795241</v>
      </c>
      <c r="F16" s="20" t="n">
        <v>1.68880974</v>
      </c>
      <c r="G16" s="18" t="n">
        <v>86.32935791</v>
      </c>
      <c r="H16" s="20" t="n">
        <v>1.76481814</v>
      </c>
      <c r="I16" s="18" t="s">
        <v>349</v>
      </c>
      <c r="J16" s="20" t="s">
        <v>349</v>
      </c>
      <c r="K16" s="18" t="n">
        <v>1.48268968</v>
      </c>
      <c r="L16" s="20" t="n">
        <v>0.66234413</v>
      </c>
      <c r="M16" s="18" t="n">
        <v>0</v>
      </c>
      <c r="N16" s="20" t="n">
        <v>0</v>
      </c>
      <c r="O16" s="18" t="n">
        <v>0</v>
      </c>
      <c r="P16" s="20" t="n">
        <v>0</v>
      </c>
      <c r="Q16" s="18" t="n">
        <v>0</v>
      </c>
      <c r="R16" s="20" t="n">
        <v>0</v>
      </c>
    </row>
    <row r="17" spans="1:18">
      <c r="A17" s="15" t="s">
        <v>359</v>
      </c>
      <c r="B17" s="17" t="n">
        <v>3197</v>
      </c>
      <c r="C17" s="18">
        <f>(2824.0/B17*100)</f>
        <v/>
      </c>
      <c r="D17" s="19" t="n">
        <v>373</v>
      </c>
      <c r="E17" s="18" t="n">
        <v>16.36407788</v>
      </c>
      <c r="F17" s="20" t="n">
        <v>1.88941193</v>
      </c>
      <c r="G17" s="18" t="n">
        <v>83.63592212</v>
      </c>
      <c r="H17" s="20" t="n">
        <v>1.88941193</v>
      </c>
      <c r="I17" s="18" t="s">
        <v>349</v>
      </c>
      <c r="J17" s="20" t="s">
        <v>349</v>
      </c>
      <c r="K17" s="18" t="n">
        <v>0</v>
      </c>
      <c r="L17" s="20" t="n">
        <v>0</v>
      </c>
      <c r="M17" s="18" t="n">
        <v>0</v>
      </c>
      <c r="N17" s="20" t="n">
        <v>0</v>
      </c>
      <c r="O17" s="18" t="n">
        <v>0</v>
      </c>
      <c r="P17" s="20" t="n">
        <v>0</v>
      </c>
      <c r="Q17" s="18" t="n">
        <v>0</v>
      </c>
      <c r="R17" s="20" t="n">
        <v>0</v>
      </c>
    </row>
    <row r="18" spans="1:18">
      <c r="A18" s="15" t="s">
        <v>360</v>
      </c>
      <c r="B18" s="17" t="n">
        <v>2706</v>
      </c>
      <c r="C18" s="18">
        <f>(2367.0/B18*100)</f>
        <v/>
      </c>
      <c r="D18" s="19" t="n">
        <v>339</v>
      </c>
      <c r="E18" s="18" t="n">
        <v>8.207661249999999</v>
      </c>
      <c r="F18" s="20" t="n">
        <v>1.75508173</v>
      </c>
      <c r="G18" s="18" t="n">
        <v>90.27489724</v>
      </c>
      <c r="H18" s="20" t="n">
        <v>1.81494571</v>
      </c>
      <c r="I18" s="18" t="s">
        <v>349</v>
      </c>
      <c r="J18" s="20" t="s">
        <v>349</v>
      </c>
      <c r="K18" s="18" t="n">
        <v>1.51744151</v>
      </c>
      <c r="L18" s="20" t="n">
        <v>0.6219834</v>
      </c>
      <c r="M18" s="18" t="n">
        <v>0</v>
      </c>
      <c r="N18" s="20" t="n">
        <v>0</v>
      </c>
      <c r="O18" s="18" t="n">
        <v>0</v>
      </c>
      <c r="P18" s="20" t="n">
        <v>0</v>
      </c>
      <c r="Q18" s="18" t="n">
        <v>0</v>
      </c>
      <c r="R18" s="20" t="n">
        <v>0</v>
      </c>
    </row>
    <row r="19" spans="1:18">
      <c r="A19" s="15" t="s">
        <v>361</v>
      </c>
      <c r="B19" s="17" t="n">
        <v>2850</v>
      </c>
      <c r="C19" s="18">
        <f>(2497.0/B19*100)</f>
        <v/>
      </c>
      <c r="D19" s="19" t="n">
        <v>353</v>
      </c>
      <c r="E19" s="18" t="n">
        <v>9.215216549999999</v>
      </c>
      <c r="F19" s="20" t="n">
        <v>1.94317003</v>
      </c>
      <c r="G19" s="18" t="n">
        <v>89.94560754</v>
      </c>
      <c r="H19" s="20" t="n">
        <v>1.98479185</v>
      </c>
      <c r="I19" s="18" t="s">
        <v>349</v>
      </c>
      <c r="J19" s="20" t="s">
        <v>349</v>
      </c>
      <c r="K19" s="18" t="n">
        <v>0.83917591</v>
      </c>
      <c r="L19" s="20" t="n">
        <v>0.4787381</v>
      </c>
      <c r="M19" s="18" t="n">
        <v>0</v>
      </c>
      <c r="N19" s="20" t="n">
        <v>0</v>
      </c>
      <c r="O19" s="18" t="n">
        <v>0</v>
      </c>
      <c r="P19" s="20" t="n">
        <v>0</v>
      </c>
      <c r="Q19" s="18" t="n">
        <v>0</v>
      </c>
      <c r="R19" s="20" t="n">
        <v>0</v>
      </c>
    </row>
    <row r="20" spans="1:18">
      <c r="A20" s="15" t="s">
        <v>362</v>
      </c>
      <c r="B20" s="17" t="n">
        <v>1741</v>
      </c>
      <c r="C20" s="18">
        <f>(1538.0/B20*100)</f>
        <v/>
      </c>
      <c r="D20" s="19" t="n">
        <v>203</v>
      </c>
      <c r="E20" s="18" t="n">
        <v>9.19251006</v>
      </c>
      <c r="F20" s="20" t="n">
        <v>2.11570786</v>
      </c>
      <c r="G20" s="18" t="n">
        <v>88.0609487</v>
      </c>
      <c r="H20" s="20" t="n">
        <v>2.37956485</v>
      </c>
      <c r="I20" s="18" t="s">
        <v>349</v>
      </c>
      <c r="J20" s="20" t="s">
        <v>349</v>
      </c>
      <c r="K20" s="18" t="n">
        <v>2.74654124</v>
      </c>
      <c r="L20" s="20" t="n">
        <v>1.13538661</v>
      </c>
      <c r="M20" s="18" t="n">
        <v>0</v>
      </c>
      <c r="N20" s="20" t="n">
        <v>0</v>
      </c>
      <c r="O20" s="18" t="n">
        <v>0</v>
      </c>
      <c r="P20" s="20" t="n">
        <v>0</v>
      </c>
      <c r="Q20" s="18" t="n">
        <v>0</v>
      </c>
      <c r="R20" s="20" t="n">
        <v>0</v>
      </c>
    </row>
    <row r="21" spans="1:18">
      <c r="A21" s="15" t="s">
        <v>363</v>
      </c>
      <c r="B21" s="17" t="n">
        <v>2833</v>
      </c>
      <c r="C21" s="18">
        <f>(2360.0/B21*100)</f>
        <v/>
      </c>
      <c r="D21" s="19" t="n">
        <v>473</v>
      </c>
      <c r="E21" s="18" t="n">
        <v>14.20173709</v>
      </c>
      <c r="F21" s="20" t="n">
        <v>1.66337724</v>
      </c>
      <c r="G21" s="18" t="n">
        <v>85.51422820000001</v>
      </c>
      <c r="H21" s="20" t="n">
        <v>1.66828144</v>
      </c>
      <c r="I21" s="18" t="s">
        <v>349</v>
      </c>
      <c r="J21" s="20" t="s">
        <v>349</v>
      </c>
      <c r="K21" s="18" t="n">
        <v>0.2840347</v>
      </c>
      <c r="L21" s="20" t="n">
        <v>0.31658428</v>
      </c>
      <c r="M21" s="18" t="n">
        <v>0</v>
      </c>
      <c r="N21" s="20" t="n">
        <v>0</v>
      </c>
      <c r="O21" s="18" t="n">
        <v>0</v>
      </c>
      <c r="P21" s="20" t="n">
        <v>0</v>
      </c>
      <c r="Q21" s="18" t="n">
        <v>0</v>
      </c>
      <c r="R21" s="20" t="n">
        <v>0</v>
      </c>
    </row>
    <row r="22" spans="1:18">
      <c r="A22" s="15" t="s">
        <v>364</v>
      </c>
      <c r="B22" s="17" t="n">
        <v>3667</v>
      </c>
      <c r="C22" s="18">
        <f>(3289.0/B22*100)</f>
        <v/>
      </c>
      <c r="D22" s="19" t="n">
        <v>378</v>
      </c>
      <c r="E22" s="18" t="n">
        <v>12.29636607</v>
      </c>
      <c r="F22" s="20" t="n">
        <v>1.85663965</v>
      </c>
      <c r="G22" s="18" t="n">
        <v>86.48883551999999</v>
      </c>
      <c r="H22" s="20" t="n">
        <v>2.02024288</v>
      </c>
      <c r="I22" s="18" t="s">
        <v>349</v>
      </c>
      <c r="J22" s="20" t="s">
        <v>349</v>
      </c>
      <c r="K22" s="18" t="n">
        <v>1.21479842</v>
      </c>
      <c r="L22" s="20" t="n">
        <v>0.54445803</v>
      </c>
      <c r="M22" s="18" t="n">
        <v>0</v>
      </c>
      <c r="N22" s="20" t="n">
        <v>0</v>
      </c>
      <c r="O22" s="18" t="n">
        <v>0</v>
      </c>
      <c r="P22" s="20" t="n">
        <v>0</v>
      </c>
      <c r="Q22" s="18" t="n">
        <v>0</v>
      </c>
      <c r="R22" s="20" t="n">
        <v>0</v>
      </c>
    </row>
    <row r="23" spans="1:18">
      <c r="A23" s="15" t="s">
        <v>365</v>
      </c>
      <c r="B23" s="17" t="n">
        <v>5792</v>
      </c>
      <c r="C23" s="18">
        <f>(5103.0/B23*100)</f>
        <v/>
      </c>
      <c r="D23" s="19" t="n">
        <v>689</v>
      </c>
      <c r="E23" s="18" t="n">
        <v>6.21186389</v>
      </c>
      <c r="F23" s="20" t="n">
        <v>1.30940136</v>
      </c>
      <c r="G23" s="18" t="n">
        <v>92.05645941</v>
      </c>
      <c r="H23" s="20" t="n">
        <v>1.43321395</v>
      </c>
      <c r="I23" s="18" t="s">
        <v>349</v>
      </c>
      <c r="J23" s="20" t="s">
        <v>349</v>
      </c>
      <c r="K23" s="18" t="n">
        <v>1.73167671</v>
      </c>
      <c r="L23" s="20" t="n">
        <v>0.59904951</v>
      </c>
      <c r="M23" s="18" t="n">
        <v>0</v>
      </c>
      <c r="N23" s="20" t="n">
        <v>0</v>
      </c>
      <c r="O23" s="18" t="n">
        <v>0</v>
      </c>
      <c r="P23" s="20" t="n">
        <v>0</v>
      </c>
      <c r="Q23" s="18" t="n">
        <v>0</v>
      </c>
      <c r="R23" s="20" t="n">
        <v>0</v>
      </c>
    </row>
    <row r="24" spans="1:18">
      <c r="A24" s="15" t="s">
        <v>366</v>
      </c>
      <c r="B24" s="17" t="n">
        <v>3309</v>
      </c>
      <c r="C24" s="18">
        <f>(2906.0/B24*100)</f>
        <v/>
      </c>
      <c r="D24" s="19" t="n">
        <v>403</v>
      </c>
      <c r="E24" s="18" t="n">
        <v>1.54604612</v>
      </c>
      <c r="F24" s="20" t="n">
        <v>0.63242917</v>
      </c>
      <c r="G24" s="18" t="n">
        <v>98.21147286</v>
      </c>
      <c r="H24" s="20" t="n">
        <v>0.59799293</v>
      </c>
      <c r="I24" s="18" t="s">
        <v>349</v>
      </c>
      <c r="J24" s="20" t="s">
        <v>349</v>
      </c>
      <c r="K24" s="18" t="n">
        <v>0.24248101</v>
      </c>
      <c r="L24" s="20" t="n">
        <v>0.24280256</v>
      </c>
      <c r="M24" s="18" t="n">
        <v>0</v>
      </c>
      <c r="N24" s="20" t="n">
        <v>0</v>
      </c>
      <c r="O24" s="18" t="n">
        <v>0</v>
      </c>
      <c r="P24" s="20" t="n">
        <v>0</v>
      </c>
      <c r="Q24" s="18" t="n">
        <v>0</v>
      </c>
      <c r="R24" s="20" t="n">
        <v>0</v>
      </c>
    </row>
    <row r="25" spans="1:18">
      <c r="A25" s="15" t="s">
        <v>367</v>
      </c>
      <c r="B25" s="17" t="n">
        <v>2669</v>
      </c>
      <c r="C25" s="18">
        <f>(2331.0/B25*100)</f>
        <v/>
      </c>
      <c r="D25" s="19" t="n">
        <v>338</v>
      </c>
      <c r="E25" s="18" t="n">
        <v>3.21699394</v>
      </c>
      <c r="F25" s="20" t="n">
        <v>0.94269366</v>
      </c>
      <c r="G25" s="18" t="n">
        <v>96.47567089</v>
      </c>
      <c r="H25" s="20" t="n">
        <v>0.9859588</v>
      </c>
      <c r="I25" s="18" t="s">
        <v>349</v>
      </c>
      <c r="J25" s="20" t="s">
        <v>349</v>
      </c>
      <c r="K25" s="18" t="n">
        <v>0.30733517</v>
      </c>
      <c r="L25" s="20" t="n">
        <v>0.30556018</v>
      </c>
      <c r="M25" s="18" t="n">
        <v>0</v>
      </c>
      <c r="N25" s="20" t="n">
        <v>0</v>
      </c>
      <c r="O25" s="18" t="n">
        <v>0</v>
      </c>
      <c r="P25" s="20" t="n">
        <v>0</v>
      </c>
      <c r="Q25" s="18" t="n">
        <v>0</v>
      </c>
      <c r="R25" s="20" t="n">
        <v>0</v>
      </c>
    </row>
    <row r="26" spans="1:18">
      <c r="A26" s="15" t="s">
        <v>368</v>
      </c>
      <c r="B26" s="17" t="n">
        <v>2419</v>
      </c>
      <c r="C26" s="18">
        <f>(2132.0/B26*100)</f>
        <v/>
      </c>
      <c r="D26" s="19" t="n">
        <v>287</v>
      </c>
      <c r="E26" s="18" t="n">
        <v>7.40933492</v>
      </c>
      <c r="F26" s="20" t="n">
        <v>1.66241221</v>
      </c>
      <c r="G26" s="18" t="n">
        <v>92.04422811000001</v>
      </c>
      <c r="H26" s="20" t="n">
        <v>1.67300676</v>
      </c>
      <c r="I26" s="18" t="s">
        <v>349</v>
      </c>
      <c r="J26" s="20" t="s">
        <v>349</v>
      </c>
      <c r="K26" s="18" t="n">
        <v>0.54643697</v>
      </c>
      <c r="L26" s="20" t="n">
        <v>0.39190194</v>
      </c>
      <c r="M26" s="18" t="n">
        <v>0</v>
      </c>
      <c r="N26" s="20" t="n">
        <v>0</v>
      </c>
      <c r="O26" s="18" t="n">
        <v>0</v>
      </c>
      <c r="P26" s="20" t="n">
        <v>0</v>
      </c>
      <c r="Q26" s="18" t="n">
        <v>0</v>
      </c>
      <c r="R26" s="20" t="n">
        <v>0</v>
      </c>
    </row>
    <row r="27" spans="1:18">
      <c r="A27" s="15" t="s">
        <v>369</v>
      </c>
      <c r="B27" s="17" t="n">
        <v>2683</v>
      </c>
      <c r="C27" s="18">
        <f>(2363.0/B27*100)</f>
        <v/>
      </c>
      <c r="D27" s="19" t="n">
        <v>320</v>
      </c>
      <c r="E27" s="18" t="n">
        <v>14.29012823</v>
      </c>
      <c r="F27" s="20" t="n">
        <v>1.87853254</v>
      </c>
      <c r="G27" s="18" t="n">
        <v>84.784385</v>
      </c>
      <c r="H27" s="20" t="n">
        <v>1.95562935</v>
      </c>
      <c r="I27" s="18" t="s">
        <v>349</v>
      </c>
      <c r="J27" s="20" t="s">
        <v>349</v>
      </c>
      <c r="K27" s="18" t="n">
        <v>0.92548677</v>
      </c>
      <c r="L27" s="20" t="n">
        <v>0.53493251</v>
      </c>
      <c r="M27" s="18" t="n">
        <v>0</v>
      </c>
      <c r="N27" s="20" t="n">
        <v>0</v>
      </c>
      <c r="O27" s="18" t="n">
        <v>0</v>
      </c>
      <c r="P27" s="20" t="n">
        <v>0</v>
      </c>
      <c r="Q27" s="18" t="n">
        <v>0</v>
      </c>
      <c r="R27" s="20" t="n">
        <v>0</v>
      </c>
    </row>
    <row r="28" spans="1:18">
      <c r="A28" s="15" t="s">
        <v>370</v>
      </c>
      <c r="B28" s="17" t="n">
        <v>3803</v>
      </c>
      <c r="C28" s="18">
        <f>(3388.0/B28*100)</f>
        <v/>
      </c>
      <c r="D28" s="19" t="n">
        <v>415</v>
      </c>
      <c r="E28" s="18" t="n">
        <v>15.5757477</v>
      </c>
      <c r="F28" s="20" t="n">
        <v>1.65457099</v>
      </c>
      <c r="G28" s="18" t="n">
        <v>82.69376758</v>
      </c>
      <c r="H28" s="20" t="n">
        <v>1.71936484</v>
      </c>
      <c r="I28" s="18" t="s">
        <v>349</v>
      </c>
      <c r="J28" s="20" t="s">
        <v>349</v>
      </c>
      <c r="K28" s="18" t="n">
        <v>1.73048472</v>
      </c>
      <c r="L28" s="20" t="n">
        <v>0.6984406399999999</v>
      </c>
      <c r="M28" s="18" t="n">
        <v>0</v>
      </c>
      <c r="N28" s="20" t="n">
        <v>0</v>
      </c>
      <c r="O28" s="18" t="n">
        <v>0</v>
      </c>
      <c r="P28" s="20" t="n">
        <v>0</v>
      </c>
      <c r="Q28" s="18" t="n">
        <v>0</v>
      </c>
      <c r="R28" s="20" t="n">
        <v>0</v>
      </c>
    </row>
    <row r="29" spans="1:18">
      <c r="A29" s="15" t="s">
        <v>371</v>
      </c>
      <c r="B29" s="17" t="n">
        <v>2700</v>
      </c>
      <c r="C29" s="18">
        <f>(2358.0/B29*100)</f>
        <v/>
      </c>
      <c r="D29" s="19" t="n">
        <v>342</v>
      </c>
      <c r="E29" s="18" t="n">
        <v>8.979074839999999</v>
      </c>
      <c r="F29" s="20" t="n">
        <v>1.56387368</v>
      </c>
      <c r="G29" s="18" t="n">
        <v>90.38346733</v>
      </c>
      <c r="H29" s="20" t="n">
        <v>1.50644322</v>
      </c>
      <c r="I29" s="18" t="s">
        <v>349</v>
      </c>
      <c r="J29" s="20" t="s">
        <v>349</v>
      </c>
      <c r="K29" s="18" t="n">
        <v>0.63745782</v>
      </c>
      <c r="L29" s="20" t="n">
        <v>0.39661983</v>
      </c>
      <c r="M29" s="18" t="n">
        <v>0</v>
      </c>
      <c r="N29" s="20" t="n">
        <v>0</v>
      </c>
      <c r="O29" s="18" t="n">
        <v>0</v>
      </c>
      <c r="P29" s="20" t="n">
        <v>0</v>
      </c>
      <c r="Q29" s="18" t="n">
        <v>0</v>
      </c>
      <c r="R29" s="20" t="n">
        <v>0</v>
      </c>
    </row>
    <row r="30" spans="1:18">
      <c r="A30" s="15" t="s">
        <v>372</v>
      </c>
      <c r="B30" s="17" t="n">
        <v>2257</v>
      </c>
      <c r="C30" s="18">
        <f>(1979.0/B30*100)</f>
        <v/>
      </c>
      <c r="D30" s="19" t="n">
        <v>278</v>
      </c>
      <c r="E30" s="18" t="n">
        <v>17.09765374</v>
      </c>
      <c r="F30" s="20" t="n">
        <v>2.17660713</v>
      </c>
      <c r="G30" s="18" t="n">
        <v>82.90234626</v>
      </c>
      <c r="H30" s="20" t="n">
        <v>2.17660713</v>
      </c>
      <c r="I30" s="18" t="s">
        <v>349</v>
      </c>
      <c r="J30" s="20" t="s">
        <v>349</v>
      </c>
      <c r="K30" s="18" t="n">
        <v>0</v>
      </c>
      <c r="L30" s="20" t="n">
        <v>0</v>
      </c>
      <c r="M30" s="18" t="n">
        <v>0</v>
      </c>
      <c r="N30" s="20" t="n">
        <v>0</v>
      </c>
      <c r="O30" s="18" t="n">
        <v>0</v>
      </c>
      <c r="P30" s="20" t="n">
        <v>0</v>
      </c>
      <c r="Q30" s="18" t="n">
        <v>0</v>
      </c>
      <c r="R30" s="20" t="n">
        <v>0</v>
      </c>
    </row>
    <row r="31" spans="1:18">
      <c r="A31" s="15" t="s">
        <v>373</v>
      </c>
      <c r="B31" s="17" t="n">
        <v>2706</v>
      </c>
      <c r="C31" s="18">
        <f>(2393.0/B31*100)</f>
        <v/>
      </c>
      <c r="D31" s="19" t="n">
        <v>313</v>
      </c>
      <c r="E31" s="18" t="n">
        <v>4.6301545</v>
      </c>
      <c r="F31" s="20" t="n">
        <v>1.24327696</v>
      </c>
      <c r="G31" s="18" t="n">
        <v>94.04281185000001</v>
      </c>
      <c r="H31" s="20" t="n">
        <v>1.41526245</v>
      </c>
      <c r="I31" s="18" t="s">
        <v>349</v>
      </c>
      <c r="J31" s="20" t="s">
        <v>349</v>
      </c>
      <c r="K31" s="18" t="n">
        <v>1.32703364</v>
      </c>
      <c r="L31" s="20" t="n">
        <v>0.66173653</v>
      </c>
      <c r="M31" s="18" t="n">
        <v>0</v>
      </c>
      <c r="N31" s="20" t="n">
        <v>0</v>
      </c>
      <c r="O31" s="18" t="n">
        <v>0</v>
      </c>
      <c r="P31" s="20" t="n">
        <v>0</v>
      </c>
      <c r="Q31" s="18" t="n">
        <v>0</v>
      </c>
      <c r="R31" s="20" t="n">
        <v>0</v>
      </c>
    </row>
    <row r="32" spans="1:18">
      <c r="A32" s="15" t="s">
        <v>374</v>
      </c>
      <c r="B32" s="17" t="n">
        <v>2209</v>
      </c>
      <c r="C32" s="18">
        <f>(1843.0/B32*100)</f>
        <v/>
      </c>
      <c r="D32" s="19" t="n">
        <v>366</v>
      </c>
      <c r="E32" s="18" t="n">
        <v>6.15869711</v>
      </c>
      <c r="F32" s="20" t="n">
        <v>1.2406695</v>
      </c>
      <c r="G32" s="18" t="n">
        <v>93.5820408</v>
      </c>
      <c r="H32" s="20" t="n">
        <v>1.2732223</v>
      </c>
      <c r="I32" s="18" t="s">
        <v>349</v>
      </c>
      <c r="J32" s="20" t="s">
        <v>349</v>
      </c>
      <c r="K32" s="18" t="n">
        <v>0.25926209</v>
      </c>
      <c r="L32" s="20" t="n">
        <v>0.27159931</v>
      </c>
      <c r="M32" s="18" t="n">
        <v>0</v>
      </c>
      <c r="N32" s="20" t="n">
        <v>0</v>
      </c>
      <c r="O32" s="18" t="n">
        <v>0</v>
      </c>
      <c r="P32" s="20" t="n">
        <v>0</v>
      </c>
      <c r="Q32" s="18" t="n">
        <v>0</v>
      </c>
      <c r="R32" s="20" t="n">
        <v>0</v>
      </c>
    </row>
    <row r="33" spans="1:18">
      <c r="A33" s="15" t="s">
        <v>375</v>
      </c>
      <c r="B33" s="17" t="n">
        <v>3651</v>
      </c>
      <c r="C33" s="18">
        <f>(3229.0/B33*100)</f>
        <v/>
      </c>
      <c r="D33" s="19" t="n">
        <v>422</v>
      </c>
      <c r="E33" s="18" t="n">
        <v>17.57129257</v>
      </c>
      <c r="F33" s="20" t="n">
        <v>1.94859634</v>
      </c>
      <c r="G33" s="18" t="n">
        <v>81.72232609</v>
      </c>
      <c r="H33" s="20" t="n">
        <v>1.97992616</v>
      </c>
      <c r="I33" s="18" t="s">
        <v>349</v>
      </c>
      <c r="J33" s="20" t="s">
        <v>349</v>
      </c>
      <c r="K33" s="18" t="n">
        <v>0.70638134</v>
      </c>
      <c r="L33" s="20" t="n">
        <v>0.45279449</v>
      </c>
      <c r="M33" s="18" t="n">
        <v>0</v>
      </c>
      <c r="N33" s="20" t="n">
        <v>0</v>
      </c>
      <c r="O33" s="18" t="n">
        <v>0</v>
      </c>
      <c r="P33" s="20" t="n">
        <v>0</v>
      </c>
      <c r="Q33" s="18" t="n">
        <v>0</v>
      </c>
      <c r="R33" s="20" t="n">
        <v>0</v>
      </c>
    </row>
    <row r="34" spans="1:18">
      <c r="A34" s="15" t="s">
        <v>376</v>
      </c>
      <c r="B34" s="17" t="n">
        <v>3035</v>
      </c>
      <c r="C34" s="18">
        <f>(2678.0/B34*100)</f>
        <v/>
      </c>
      <c r="D34" s="19" t="n">
        <v>357</v>
      </c>
      <c r="E34" s="18" t="n">
        <v>10.40824033</v>
      </c>
      <c r="F34" s="20" t="n">
        <v>1.68164469</v>
      </c>
      <c r="G34" s="18" t="n">
        <v>89.59175967</v>
      </c>
      <c r="H34" s="20" t="n">
        <v>1.68164469</v>
      </c>
      <c r="I34" s="18" t="s">
        <v>349</v>
      </c>
      <c r="J34" s="20" t="s">
        <v>349</v>
      </c>
      <c r="K34" s="18" t="n">
        <v>0</v>
      </c>
      <c r="L34" s="20" t="n">
        <v>0</v>
      </c>
      <c r="M34" s="18" t="n">
        <v>0</v>
      </c>
      <c r="N34" s="20" t="n">
        <v>0</v>
      </c>
      <c r="O34" s="18" t="n">
        <v>0</v>
      </c>
      <c r="P34" s="20" t="n">
        <v>0</v>
      </c>
      <c r="Q34" s="18" t="n">
        <v>0</v>
      </c>
      <c r="R34" s="20" t="n">
        <v>0</v>
      </c>
    </row>
    <row r="35" spans="1:18">
      <c r="A35" s="15" t="s">
        <v>377</v>
      </c>
      <c r="B35" s="17" t="n">
        <v>2901</v>
      </c>
      <c r="C35" s="18">
        <f>(2521.0/B35*100)</f>
        <v/>
      </c>
      <c r="D35" s="19" t="n">
        <v>380</v>
      </c>
      <c r="E35" s="18" t="n">
        <v>2.07861281</v>
      </c>
      <c r="F35" s="20" t="n">
        <v>0.6894867099999999</v>
      </c>
      <c r="G35" s="18" t="n">
        <v>97.72195725</v>
      </c>
      <c r="H35" s="20" t="n">
        <v>0.70380758</v>
      </c>
      <c r="I35" s="18" t="s">
        <v>349</v>
      </c>
      <c r="J35" s="20" t="s">
        <v>349</v>
      </c>
      <c r="K35" s="18" t="n">
        <v>0.19942994</v>
      </c>
      <c r="L35" s="20" t="n">
        <v>0.1427746</v>
      </c>
      <c r="M35" s="18" t="n">
        <v>0</v>
      </c>
      <c r="N35" s="20" t="n">
        <v>0</v>
      </c>
      <c r="O35" s="18" t="n">
        <v>0</v>
      </c>
      <c r="P35" s="20" t="n">
        <v>0</v>
      </c>
      <c r="Q35" s="18" t="n">
        <v>0</v>
      </c>
      <c r="R35" s="20" t="n">
        <v>0</v>
      </c>
    </row>
    <row r="36" spans="1:18">
      <c r="A36" s="15" t="s">
        <v>378</v>
      </c>
      <c r="B36" s="17" t="n">
        <v>3404</v>
      </c>
      <c r="C36" s="18">
        <f>(2992.0/B36*100)</f>
        <v/>
      </c>
      <c r="D36" s="19" t="n">
        <v>412</v>
      </c>
      <c r="E36" s="18" t="n">
        <v>8.472009079999999</v>
      </c>
      <c r="F36" s="20" t="n">
        <v>1.28908527</v>
      </c>
      <c r="G36" s="18" t="n">
        <v>90.71643369</v>
      </c>
      <c r="H36" s="20" t="n">
        <v>1.34865342</v>
      </c>
      <c r="I36" s="18" t="s">
        <v>349</v>
      </c>
      <c r="J36" s="20" t="s">
        <v>349</v>
      </c>
      <c r="K36" s="18" t="n">
        <v>0.81155723</v>
      </c>
      <c r="L36" s="20" t="n">
        <v>0.45900844</v>
      </c>
      <c r="M36" s="18" t="n">
        <v>0</v>
      </c>
      <c r="N36" s="20" t="n">
        <v>0</v>
      </c>
      <c r="O36" s="18" t="n">
        <v>0</v>
      </c>
      <c r="P36" s="20" t="n">
        <v>0</v>
      </c>
      <c r="Q36" s="18" t="n">
        <v>0</v>
      </c>
      <c r="R36" s="20" t="n">
        <v>0</v>
      </c>
    </row>
    <row r="37" spans="1:18">
      <c r="A37" s="15" t="s">
        <v>379</v>
      </c>
      <c r="B37" s="17" t="n">
        <v>2731</v>
      </c>
      <c r="C37" s="18">
        <f>(2397.0/B37*100)</f>
        <v/>
      </c>
      <c r="D37" s="19" t="n">
        <v>334</v>
      </c>
      <c r="E37" s="18" t="n">
        <v>6.10656886</v>
      </c>
      <c r="F37" s="20" t="n">
        <v>1.46722723</v>
      </c>
      <c r="G37" s="18" t="n">
        <v>93.03106115</v>
      </c>
      <c r="H37" s="20" t="n">
        <v>1.42457872</v>
      </c>
      <c r="I37" s="18" t="s">
        <v>349</v>
      </c>
      <c r="J37" s="20" t="s">
        <v>349</v>
      </c>
      <c r="K37" s="18" t="n">
        <v>0.86236999</v>
      </c>
      <c r="L37" s="20" t="n">
        <v>0.50399983</v>
      </c>
      <c r="M37" s="18" t="n">
        <v>0</v>
      </c>
      <c r="N37" s="20" t="n">
        <v>0</v>
      </c>
      <c r="O37" s="18" t="n">
        <v>0</v>
      </c>
      <c r="P37" s="20" t="n">
        <v>0</v>
      </c>
      <c r="Q37" s="18" t="n">
        <v>0</v>
      </c>
      <c r="R37" s="20" t="n">
        <v>0</v>
      </c>
    </row>
    <row r="38" spans="1:18">
      <c r="A38" s="15" t="s">
        <v>380</v>
      </c>
      <c r="B38" s="17" t="n">
        <v>2807</v>
      </c>
      <c r="C38" s="18">
        <f>(2333.0/B38*100)</f>
        <v/>
      </c>
      <c r="D38" s="19" t="n">
        <v>474</v>
      </c>
      <c r="E38" s="18" t="n">
        <v>14.44957255</v>
      </c>
      <c r="F38" s="20" t="n">
        <v>1.59093935</v>
      </c>
      <c r="G38" s="18" t="n">
        <v>84.20403283</v>
      </c>
      <c r="H38" s="20" t="n">
        <v>1.70104936</v>
      </c>
      <c r="I38" s="18" t="s">
        <v>349</v>
      </c>
      <c r="J38" s="20" t="s">
        <v>349</v>
      </c>
      <c r="K38" s="18" t="n">
        <v>1.34639462</v>
      </c>
      <c r="L38" s="20" t="n">
        <v>0.52119168</v>
      </c>
      <c r="M38" s="18" t="n">
        <v>0</v>
      </c>
      <c r="N38" s="20" t="n">
        <v>0</v>
      </c>
      <c r="O38" s="18" t="n">
        <v>0</v>
      </c>
      <c r="P38" s="20" t="n">
        <v>0</v>
      </c>
      <c r="Q38" s="18" t="n">
        <v>0</v>
      </c>
      <c r="R38" s="20" t="n">
        <v>0</v>
      </c>
    </row>
    <row r="39" spans="1:18">
      <c r="A39" s="15" t="s">
        <v>381</v>
      </c>
      <c r="B39" s="17" t="n">
        <v>2938</v>
      </c>
      <c r="C39" s="18">
        <f>(2602.0/B39*100)</f>
        <v/>
      </c>
      <c r="D39" s="19" t="n">
        <v>336</v>
      </c>
      <c r="E39" s="18" t="n">
        <v>8.119511080000001</v>
      </c>
      <c r="F39" s="20" t="n">
        <v>1.63195115</v>
      </c>
      <c r="G39" s="18" t="n">
        <v>89.4708636</v>
      </c>
      <c r="H39" s="20" t="n">
        <v>1.818627</v>
      </c>
      <c r="I39" s="18" t="s">
        <v>349</v>
      </c>
      <c r="J39" s="20" t="s">
        <v>349</v>
      </c>
      <c r="K39" s="18" t="n">
        <v>2.40962532</v>
      </c>
      <c r="L39" s="20" t="n">
        <v>0.96344665</v>
      </c>
      <c r="M39" s="18" t="n">
        <v>0</v>
      </c>
      <c r="N39" s="20" t="n">
        <v>0</v>
      </c>
      <c r="O39" s="18" t="n">
        <v>0</v>
      </c>
      <c r="P39" s="20" t="n">
        <v>0</v>
      </c>
      <c r="Q39" s="18" t="n">
        <v>0</v>
      </c>
      <c r="R39" s="20" t="n">
        <v>0</v>
      </c>
    </row>
    <row r="40" spans="1:18">
      <c r="A40" s="15" t="s">
        <v>382</v>
      </c>
      <c r="B40" s="17" t="n">
        <v>6922</v>
      </c>
      <c r="C40" s="18">
        <f>(6094.0/B40*100)</f>
        <v/>
      </c>
      <c r="D40" s="19" t="n">
        <v>828</v>
      </c>
      <c r="E40" s="18" t="n">
        <v>15.30014011</v>
      </c>
      <c r="F40" s="20" t="n">
        <v>2.01121098</v>
      </c>
      <c r="G40" s="18" t="n">
        <v>84.57208427</v>
      </c>
      <c r="H40" s="20" t="n">
        <v>2.01940901</v>
      </c>
      <c r="I40" s="18" t="s">
        <v>349</v>
      </c>
      <c r="J40" s="20" t="s">
        <v>349</v>
      </c>
      <c r="K40" s="18" t="n">
        <v>0.12777562</v>
      </c>
      <c r="L40" s="20" t="n">
        <v>0.05849383</v>
      </c>
      <c r="M40" s="18" t="n">
        <v>0</v>
      </c>
      <c r="N40" s="20" t="n">
        <v>0</v>
      </c>
      <c r="O40" s="18" t="n">
        <v>0</v>
      </c>
      <c r="P40" s="20" t="n">
        <v>0</v>
      </c>
      <c r="Q40" s="18" t="n">
        <v>0</v>
      </c>
      <c r="R40" s="20" t="n">
        <v>0</v>
      </c>
    </row>
    <row r="41" spans="1:18">
      <c r="A41" s="15" t="s">
        <v>383</v>
      </c>
      <c r="B41" s="17" t="n">
        <v>2854</v>
      </c>
      <c r="C41" s="18">
        <f>(2516.0/B41*100)</f>
        <v/>
      </c>
      <c r="D41" s="19" t="n">
        <v>338</v>
      </c>
      <c r="E41" s="18" t="n">
        <v>22.11012143</v>
      </c>
      <c r="F41" s="20" t="n">
        <v>2.46383865</v>
      </c>
      <c r="G41" s="18" t="n">
        <v>77.34043183999999</v>
      </c>
      <c r="H41" s="20" t="n">
        <v>2.46999767</v>
      </c>
      <c r="I41" s="18" t="s">
        <v>349</v>
      </c>
      <c r="J41" s="20" t="s">
        <v>349</v>
      </c>
      <c r="K41" s="18" t="n">
        <v>0.54944673</v>
      </c>
      <c r="L41" s="20" t="n">
        <v>0.37534954</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(10928.0/B46*100)</f>
        <v/>
      </c>
      <c r="D46" s="19" t="n">
        <v>1145</v>
      </c>
      <c r="E46" s="18" t="n">
        <v>23.41579134</v>
      </c>
      <c r="F46" s="20" t="n">
        <v>1.89920552</v>
      </c>
      <c r="G46" s="18" t="n">
        <v>73.6559108</v>
      </c>
      <c r="H46" s="20" t="n">
        <v>2.02588677</v>
      </c>
      <c r="I46" s="18" t="s">
        <v>349</v>
      </c>
      <c r="J46" s="20" t="s">
        <v>349</v>
      </c>
      <c r="K46" s="18" t="n">
        <v>2.92829786</v>
      </c>
      <c r="L46" s="20" t="n">
        <v>0.6800519</v>
      </c>
      <c r="M46" s="18" t="n">
        <v>0</v>
      </c>
      <c r="N46" s="20" t="n">
        <v>0</v>
      </c>
      <c r="O46" s="18" t="n">
        <v>0</v>
      </c>
      <c r="P46" s="20" t="n">
        <v>0</v>
      </c>
      <c r="Q46" s="18" t="n">
        <v>0</v>
      </c>
      <c r="R46" s="20" t="n">
        <v>0</v>
      </c>
    </row>
    <row r="47" spans="1:18">
      <c r="A47" s="15" t="s">
        <v>389</v>
      </c>
      <c r="B47" s="17" t="n">
        <v>2823</v>
      </c>
      <c r="C47" s="18">
        <f>(2485.0/B47*100)</f>
        <v/>
      </c>
      <c r="D47" s="19" t="n">
        <v>338</v>
      </c>
      <c r="E47" s="18" t="n">
        <v>12.16087989</v>
      </c>
      <c r="F47" s="20" t="n">
        <v>2.04004759</v>
      </c>
      <c r="G47" s="18" t="n">
        <v>86.94113056</v>
      </c>
      <c r="H47" s="20" t="n">
        <v>2.02629874</v>
      </c>
      <c r="I47" s="18" t="s">
        <v>349</v>
      </c>
      <c r="J47" s="20" t="s">
        <v>349</v>
      </c>
      <c r="K47" s="18" t="n">
        <v>0.89798955</v>
      </c>
      <c r="L47" s="20" t="n">
        <v>0.48144943</v>
      </c>
      <c r="M47" s="18" t="n">
        <v>0</v>
      </c>
      <c r="N47" s="20" t="n">
        <v>0</v>
      </c>
      <c r="O47" s="18" t="n">
        <v>0</v>
      </c>
      <c r="P47" s="20" t="n">
        <v>0</v>
      </c>
      <c r="Q47" s="18" t="n">
        <v>0</v>
      </c>
      <c r="R47" s="20" t="n">
        <v>0</v>
      </c>
    </row>
    <row r="48" spans="1:18">
      <c r="A48" s="15" t="s">
        <v>390</v>
      </c>
      <c r="B48" s="17" t="n">
        <v>4682</v>
      </c>
      <c r="C48" s="18">
        <f>(4110.0/B48*100)</f>
        <v/>
      </c>
      <c r="D48" s="19" t="n">
        <v>572</v>
      </c>
      <c r="E48" s="18" t="n">
        <v>4.2124606</v>
      </c>
      <c r="F48" s="20" t="n">
        <v>1.03337803</v>
      </c>
      <c r="G48" s="18" t="n">
        <v>95.43728464</v>
      </c>
      <c r="H48" s="20" t="n">
        <v>1.08656303</v>
      </c>
      <c r="I48" s="18" t="s">
        <v>349</v>
      </c>
      <c r="J48" s="20" t="s">
        <v>349</v>
      </c>
      <c r="K48" s="18" t="n">
        <v>0.35025476</v>
      </c>
      <c r="L48" s="20" t="n">
        <v>0.33980885</v>
      </c>
      <c r="M48" s="18" t="n">
        <v>0</v>
      </c>
      <c r="N48" s="20" t="n">
        <v>0</v>
      </c>
      <c r="O48" s="18" t="n">
        <v>0</v>
      </c>
      <c r="P48" s="20" t="n">
        <v>0</v>
      </c>
      <c r="Q48" s="18" t="n">
        <v>0</v>
      </c>
      <c r="R48" s="20" t="n">
        <v>0</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(5455.0/B50*100)</f>
        <v/>
      </c>
      <c r="D50" s="19" t="n">
        <v>703</v>
      </c>
      <c r="E50" s="18" t="n">
        <v>24.3348253</v>
      </c>
      <c r="F50" s="20" t="n">
        <v>1.99834825</v>
      </c>
      <c r="G50" s="18" t="n">
        <v>73.12972459</v>
      </c>
      <c r="H50" s="20" t="n">
        <v>2.10486476</v>
      </c>
      <c r="I50" s="18" t="s">
        <v>349</v>
      </c>
      <c r="J50" s="20" t="s">
        <v>349</v>
      </c>
      <c r="K50" s="18" t="n">
        <v>2.53545011</v>
      </c>
      <c r="L50" s="20" t="n">
        <v>0.73775457</v>
      </c>
      <c r="M50" s="18" t="n">
        <v>0</v>
      </c>
      <c r="N50" s="20" t="n">
        <v>0</v>
      </c>
      <c r="O50" s="18" t="n">
        <v>0</v>
      </c>
      <c r="P50" s="20" t="n">
        <v>0</v>
      </c>
      <c r="Q50" s="18" t="n">
        <v>0</v>
      </c>
      <c r="R50" s="20" t="n">
        <v>0</v>
      </c>
    </row>
    <row r="51" spans="1:18">
      <c r="A51" s="15" t="s">
        <v>393</v>
      </c>
      <c r="B51" s="17" t="n">
        <v>3494</v>
      </c>
      <c r="C51" s="18">
        <f>(3145.0/B51*100)</f>
        <v/>
      </c>
      <c r="D51" s="19" t="n">
        <v>349</v>
      </c>
      <c r="E51" s="18" t="n">
        <v>15.08066058</v>
      </c>
      <c r="F51" s="20" t="n">
        <v>1.85670437</v>
      </c>
      <c r="G51" s="18" t="n">
        <v>84.07598593</v>
      </c>
      <c r="H51" s="20" t="n">
        <v>1.89780131</v>
      </c>
      <c r="I51" s="18" t="s">
        <v>349</v>
      </c>
      <c r="J51" s="20" t="s">
        <v>349</v>
      </c>
      <c r="K51" s="18" t="n">
        <v>0.84335349</v>
      </c>
      <c r="L51" s="20" t="n">
        <v>0.49020994</v>
      </c>
      <c r="M51" s="18" t="n">
        <v>0</v>
      </c>
      <c r="N51" s="20" t="n">
        <v>0</v>
      </c>
      <c r="O51" s="18" t="n">
        <v>0</v>
      </c>
      <c r="P51" s="20" t="n">
        <v>0</v>
      </c>
      <c r="Q51" s="18" t="n">
        <v>0</v>
      </c>
      <c r="R51" s="20" t="n">
        <v>0</v>
      </c>
    </row>
    <row r="52" spans="1:18">
      <c r="A52" s="15" t="s">
        <v>394</v>
      </c>
      <c r="B52" s="17" t="n">
        <v>3013</v>
      </c>
      <c r="C52" s="18">
        <f>(2657.0/B52*100)</f>
        <v/>
      </c>
      <c r="D52" s="19" t="n">
        <v>356</v>
      </c>
      <c r="E52" s="18" t="n">
        <v>10.05887202</v>
      </c>
      <c r="F52" s="20" t="n">
        <v>1.30987477</v>
      </c>
      <c r="G52" s="18" t="n">
        <v>89.37863545</v>
      </c>
      <c r="H52" s="20" t="n">
        <v>1.40466964</v>
      </c>
      <c r="I52" s="18" t="s">
        <v>349</v>
      </c>
      <c r="J52" s="20" t="s">
        <v>349</v>
      </c>
      <c r="K52" s="18" t="n">
        <v>0.56249253</v>
      </c>
      <c r="L52" s="20" t="n">
        <v>0.402406</v>
      </c>
      <c r="M52" s="18" t="n">
        <v>0</v>
      </c>
      <c r="N52" s="20" t="n">
        <v>0</v>
      </c>
      <c r="O52" s="18" t="n">
        <v>0</v>
      </c>
      <c r="P52" s="20" t="n">
        <v>0</v>
      </c>
      <c r="Q52" s="18" t="n">
        <v>0</v>
      </c>
      <c r="R52" s="20" t="n">
        <v>0</v>
      </c>
    </row>
    <row r="53" spans="1:18">
      <c r="A53" s="15" t="s">
        <v>395</v>
      </c>
      <c r="B53" s="17" t="n">
        <v>2760</v>
      </c>
      <c r="C53" s="18">
        <f>(2435.0/B53*100)</f>
        <v/>
      </c>
      <c r="D53" s="19" t="n">
        <v>325</v>
      </c>
      <c r="E53" s="18" t="n">
        <v>8.78318913</v>
      </c>
      <c r="F53" s="20" t="n">
        <v>1.61029136</v>
      </c>
      <c r="G53" s="18" t="n">
        <v>90.65166849000001</v>
      </c>
      <c r="H53" s="20" t="n">
        <v>1.71878312</v>
      </c>
      <c r="I53" s="18" t="s">
        <v>349</v>
      </c>
      <c r="J53" s="20" t="s">
        <v>349</v>
      </c>
      <c r="K53" s="18" t="n">
        <v>0.5651423800000001</v>
      </c>
      <c r="L53" s="20" t="n">
        <v>0.39674878</v>
      </c>
      <c r="M53" s="18" t="n">
        <v>0</v>
      </c>
      <c r="N53" s="20" t="n">
        <v>0</v>
      </c>
      <c r="O53" s="18" t="n">
        <v>0</v>
      </c>
      <c r="P53" s="20" t="n">
        <v>0</v>
      </c>
      <c r="Q53" s="18" t="n">
        <v>0</v>
      </c>
      <c r="R53" s="20" t="n">
        <v>0</v>
      </c>
    </row>
    <row r="54" spans="1:18">
      <c r="A54" s="15" t="s">
        <v>396</v>
      </c>
      <c r="B54" s="17" t="n">
        <v>2474</v>
      </c>
      <c r="C54" s="18">
        <f>(2047.0/B54*100)</f>
        <v/>
      </c>
      <c r="D54" s="19" t="n">
        <v>427</v>
      </c>
      <c r="E54" s="18" t="n">
        <v>26.48510312</v>
      </c>
      <c r="F54" s="20" t="n">
        <v>2.22537258</v>
      </c>
      <c r="G54" s="18" t="n">
        <v>59.43114554</v>
      </c>
      <c r="H54" s="20" t="n">
        <v>2.40781368</v>
      </c>
      <c r="I54" s="18" t="s">
        <v>349</v>
      </c>
      <c r="J54" s="20" t="s">
        <v>349</v>
      </c>
      <c r="K54" s="18" t="n">
        <v>14.08375134</v>
      </c>
      <c r="L54" s="20" t="n">
        <v>1.63130972</v>
      </c>
      <c r="M54" s="18" t="n">
        <v>0</v>
      </c>
      <c r="N54" s="20" t="n">
        <v>0</v>
      </c>
      <c r="O54" s="18" t="n">
        <v>0</v>
      </c>
      <c r="P54" s="20" t="n">
        <v>0</v>
      </c>
      <c r="Q54" s="18" t="n">
        <v>0</v>
      </c>
      <c r="R54" s="20" t="n">
        <v>0</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(2350.0/B56*100)</f>
        <v/>
      </c>
      <c r="D56" s="19" t="n">
        <v>325</v>
      </c>
      <c r="E56" s="18" t="n">
        <v>2.04538959</v>
      </c>
      <c r="F56" s="20" t="n">
        <v>0.61351531</v>
      </c>
      <c r="G56" s="18" t="n">
        <v>97.03537919999999</v>
      </c>
      <c r="H56" s="20" t="n">
        <v>0.84827298</v>
      </c>
      <c r="I56" s="18" t="s">
        <v>349</v>
      </c>
      <c r="J56" s="20" t="s">
        <v>349</v>
      </c>
      <c r="K56" s="18" t="n">
        <v>0.9192312</v>
      </c>
      <c r="L56" s="20" t="n">
        <v>0.5921338</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(2792.0/B61*100)</f>
        <v/>
      </c>
      <c r="D61" s="19" t="n">
        <v>409</v>
      </c>
      <c r="E61" s="18" t="n">
        <v>5.25145804</v>
      </c>
      <c r="F61" s="20" t="n">
        <v>1.31698036</v>
      </c>
      <c r="G61" s="18" t="n">
        <v>93.96561611</v>
      </c>
      <c r="H61" s="20" t="n">
        <v>1.42816888</v>
      </c>
      <c r="I61" s="18" t="s">
        <v>349</v>
      </c>
      <c r="J61" s="20" t="s">
        <v>349</v>
      </c>
      <c r="K61" s="18" t="n">
        <v>0.78292585</v>
      </c>
      <c r="L61" s="20" t="n">
        <v>0.7009188200000001</v>
      </c>
      <c r="M61" s="18" t="n">
        <v>0</v>
      </c>
      <c r="N61" s="20" t="n">
        <v>0</v>
      </c>
      <c r="O61" s="18" t="n">
        <v>0</v>
      </c>
      <c r="P61" s="20" t="n">
        <v>0</v>
      </c>
      <c r="Q61" s="18" t="n">
        <v>0</v>
      </c>
      <c r="R61" s="20" t="n">
        <v>0</v>
      </c>
    </row>
    <row r="62" spans="1:18">
      <c r="A62" s="15" t="s">
        <v>404</v>
      </c>
      <c r="B62" s="17" t="n">
        <v>2230</v>
      </c>
      <c r="C62" s="18">
        <f>(1962.0/B62*100)</f>
        <v/>
      </c>
      <c r="D62" s="19" t="n">
        <v>268</v>
      </c>
      <c r="E62" s="18" t="n">
        <v>6.37364356</v>
      </c>
      <c r="F62" s="20" t="n">
        <v>1.42742544</v>
      </c>
      <c r="G62" s="18" t="n">
        <v>93.62635644</v>
      </c>
      <c r="H62" s="20" t="n">
        <v>1.42742544</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(2444.0/B66*100)</f>
        <v/>
      </c>
      <c r="D66" s="19" t="n">
        <v>327</v>
      </c>
      <c r="E66" s="18" t="n">
        <v>20.38218175</v>
      </c>
      <c r="F66" s="20" t="n">
        <v>2.18881254</v>
      </c>
      <c r="G66" s="18" t="n">
        <v>78.26619766</v>
      </c>
      <c r="H66" s="20" t="n">
        <v>2.13709786</v>
      </c>
      <c r="I66" s="18" t="s">
        <v>349</v>
      </c>
      <c r="J66" s="20" t="s">
        <v>349</v>
      </c>
      <c r="K66" s="18" t="n">
        <v>1.35162059</v>
      </c>
      <c r="L66" s="20" t="n">
        <v>0.60090342</v>
      </c>
      <c r="M66" s="18" t="n">
        <v>0</v>
      </c>
      <c r="N66" s="20" t="n">
        <v>0</v>
      </c>
      <c r="O66" s="18" t="n">
        <v>0</v>
      </c>
      <c r="P66" s="20" t="n">
        <v>0</v>
      </c>
      <c r="Q66" s="18" t="n">
        <v>0</v>
      </c>
      <c r="R66" s="20" t="n">
        <v>0</v>
      </c>
    </row>
    <row r="67" spans="1:18">
      <c r="A67" s="15" t="s">
        <v>409</v>
      </c>
      <c r="B67" s="17" t="n">
        <v>3460</v>
      </c>
      <c r="C67" s="18">
        <f>(3106.0/B67*100)</f>
        <v/>
      </c>
      <c r="D67" s="19" t="n">
        <v>354</v>
      </c>
      <c r="E67" s="18" t="n">
        <v>19.70563407</v>
      </c>
      <c r="F67" s="20" t="n">
        <v>2.13329918</v>
      </c>
      <c r="G67" s="18" t="n">
        <v>79.56279329</v>
      </c>
      <c r="H67" s="20" t="n">
        <v>2.28203482</v>
      </c>
      <c r="I67" s="18" t="s">
        <v>349</v>
      </c>
      <c r="J67" s="20" t="s">
        <v>349</v>
      </c>
      <c r="K67" s="18" t="n">
        <v>0.73157264</v>
      </c>
      <c r="L67" s="20" t="n">
        <v>0.73442058</v>
      </c>
      <c r="M67" s="18" t="n">
        <v>0</v>
      </c>
      <c r="N67" s="20" t="n">
        <v>0</v>
      </c>
      <c r="O67" s="18" t="n">
        <v>0</v>
      </c>
      <c r="P67" s="20" t="n">
        <v>0</v>
      </c>
      <c r="Q67" s="18" t="n">
        <v>0</v>
      </c>
      <c r="R67" s="20" t="n">
        <v>0</v>
      </c>
    </row>
    <row r="68" spans="1:18">
      <c r="A68" s="15" t="s">
        <v>410</v>
      </c>
      <c r="B68" s="17" t="n">
        <v>6034</v>
      </c>
      <c r="C68" s="18">
        <f>(5047.0/B68*100)</f>
        <v/>
      </c>
      <c r="D68" s="19" t="n">
        <v>987</v>
      </c>
      <c r="E68" s="18" t="n">
        <v>19.38128347</v>
      </c>
      <c r="F68" s="20" t="n">
        <v>1.21214618</v>
      </c>
      <c r="G68" s="18" t="n">
        <v>77.83793158</v>
      </c>
      <c r="H68" s="20" t="n">
        <v>1.24854941</v>
      </c>
      <c r="I68" s="18" t="s">
        <v>349</v>
      </c>
      <c r="J68" s="20" t="s">
        <v>349</v>
      </c>
      <c r="K68" s="18" t="n">
        <v>2.78078495</v>
      </c>
      <c r="L68" s="20" t="n">
        <v>0.43505313</v>
      </c>
      <c r="M68" s="18" t="n">
        <v>0</v>
      </c>
      <c r="N68" s="20" t="n">
        <v>0</v>
      </c>
      <c r="O68" s="18" t="n">
        <v>0</v>
      </c>
      <c r="P68" s="20" t="n">
        <v>0</v>
      </c>
      <c r="Q68" s="18" t="n">
        <v>0</v>
      </c>
      <c r="R68" s="20" t="n">
        <v>0</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(2781.0/B70*100)</f>
        <v/>
      </c>
      <c r="D70" s="19" t="n">
        <v>326</v>
      </c>
      <c r="E70" s="18" t="n">
        <v>5.52844503</v>
      </c>
      <c r="F70" s="20" t="n">
        <v>1.32463326</v>
      </c>
      <c r="G70" s="18" t="n">
        <v>92.96729572</v>
      </c>
      <c r="H70" s="20" t="n">
        <v>1.34495084</v>
      </c>
      <c r="I70" s="18" t="s">
        <v>349</v>
      </c>
      <c r="J70" s="20" t="s">
        <v>349</v>
      </c>
      <c r="K70" s="18" t="n">
        <v>1.50425925</v>
      </c>
      <c r="L70" s="20" t="n">
        <v>0.52311116</v>
      </c>
      <c r="M70" s="18" t="n">
        <v>0</v>
      </c>
      <c r="N70" s="20" t="n">
        <v>0</v>
      </c>
      <c r="O70" s="18" t="n">
        <v>0</v>
      </c>
      <c r="P70" s="20" t="n">
        <v>0</v>
      </c>
      <c r="Q70" s="18" t="n">
        <v>0</v>
      </c>
      <c r="R70" s="20" t="n">
        <v>0</v>
      </c>
    </row>
    <row r="71" spans="1:18">
      <c r="A71" s="15" t="s">
        <v>413</v>
      </c>
      <c r="B71" s="17" t="n">
        <v>2973</v>
      </c>
      <c r="C71" s="18">
        <f>(2637.0/B71*100)</f>
        <v/>
      </c>
      <c r="D71" s="19" t="n">
        <v>336</v>
      </c>
      <c r="E71" s="18" t="n">
        <v>6.50350346</v>
      </c>
      <c r="F71" s="20" t="n">
        <v>1.464772</v>
      </c>
      <c r="G71" s="18" t="n">
        <v>93.49649654</v>
      </c>
      <c r="H71" s="20" t="n">
        <v>1.464772</v>
      </c>
      <c r="I71" s="18" t="s">
        <v>349</v>
      </c>
      <c r="J71" s="20" t="s">
        <v>349</v>
      </c>
      <c r="K71" s="18" t="n">
        <v>0</v>
      </c>
      <c r="L71" s="20" t="n">
        <v>0</v>
      </c>
      <c r="M71" s="18" t="n">
        <v>0</v>
      </c>
      <c r="N71" s="20" t="n">
        <v>0</v>
      </c>
      <c r="O71" s="18" t="n">
        <v>0</v>
      </c>
      <c r="P71" s="20" t="n">
        <v>0</v>
      </c>
      <c r="Q71" s="18" t="n">
        <v>0</v>
      </c>
      <c r="R71" s="20" t="n">
        <v>0</v>
      </c>
    </row>
    <row r="72" spans="1:18">
      <c r="A72" s="15" t="s">
        <v>414</v>
      </c>
      <c r="B72" s="17" t="n">
        <v>3819</v>
      </c>
      <c r="C72" s="18">
        <f>(3352.0/B72*100)</f>
        <v/>
      </c>
      <c r="D72" s="19" t="n">
        <v>467</v>
      </c>
      <c r="E72" s="18" t="n">
        <v>2.78615358</v>
      </c>
      <c r="F72" s="20" t="n">
        <v>0.71837331</v>
      </c>
      <c r="G72" s="18" t="n">
        <v>96.40605508</v>
      </c>
      <c r="H72" s="20" t="n">
        <v>0.83559828</v>
      </c>
      <c r="I72" s="18" t="s">
        <v>349</v>
      </c>
      <c r="J72" s="20" t="s">
        <v>349</v>
      </c>
      <c r="K72" s="18" t="n">
        <v>0.80779134</v>
      </c>
      <c r="L72" s="20" t="n">
        <v>0.43645541</v>
      </c>
      <c r="M72" s="18" t="n">
        <v>0</v>
      </c>
      <c r="N72" s="20" t="n">
        <v>0</v>
      </c>
      <c r="O72" s="18" t="n">
        <v>0</v>
      </c>
      <c r="P72" s="20" t="n">
        <v>0</v>
      </c>
      <c r="Q72" s="18" t="n">
        <v>0</v>
      </c>
      <c r="R72" s="20" t="n">
        <v>0</v>
      </c>
    </row>
    <row r="73" spans="1:18">
      <c r="A73" s="15" t="s">
        <v>415</v>
      </c>
      <c r="B73" s="17" t="n">
        <v>4652</v>
      </c>
      <c r="C73" s="18">
        <f>(4093.0/B73*100)</f>
        <v/>
      </c>
      <c r="D73" s="19" t="n">
        <v>559</v>
      </c>
      <c r="E73" s="18" t="n">
        <v>9.37484341</v>
      </c>
      <c r="F73" s="20" t="n">
        <v>1.46429521</v>
      </c>
      <c r="G73" s="18" t="n">
        <v>90.36860981</v>
      </c>
      <c r="H73" s="20" t="n">
        <v>1.44330731</v>
      </c>
      <c r="I73" s="18" t="s">
        <v>349</v>
      </c>
      <c r="J73" s="20" t="s">
        <v>349</v>
      </c>
      <c r="K73" s="18" t="n">
        <v>0.25654678</v>
      </c>
      <c r="L73" s="20" t="n">
        <v>0.2486871</v>
      </c>
      <c r="M73" s="18" t="n">
        <v>0</v>
      </c>
      <c r="N73" s="20" t="n">
        <v>0</v>
      </c>
      <c r="O73" s="18" t="n">
        <v>0</v>
      </c>
      <c r="P73" s="20" t="n">
        <v>0</v>
      </c>
      <c r="Q73" s="18" t="n">
        <v>0</v>
      </c>
      <c r="R73" s="20" t="n">
        <v>0</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(2628.0/B75*100)</f>
        <v/>
      </c>
      <c r="D75" s="19" t="n">
        <v>341</v>
      </c>
      <c r="E75" s="18" t="n">
        <v>0</v>
      </c>
      <c r="F75" s="20" t="n">
        <v>0</v>
      </c>
      <c r="G75" s="18" t="n">
        <v>0</v>
      </c>
      <c r="H75" s="20" t="n">
        <v>0</v>
      </c>
      <c r="I75" s="18" t="s">
        <v>349</v>
      </c>
      <c r="J75" s="20" t="s">
        <v>349</v>
      </c>
      <c r="K75" s="18" t="n">
        <v>0</v>
      </c>
      <c r="L75" s="20" t="n">
        <v>0</v>
      </c>
      <c r="M75" s="18" t="n">
        <v>100</v>
      </c>
      <c r="N75" s="20" t="n">
        <v>0</v>
      </c>
      <c r="O75" s="18" t="n">
        <v>0</v>
      </c>
      <c r="P75" s="20" t="n">
        <v>0</v>
      </c>
      <c r="Q75" s="18" t="n">
        <v>0</v>
      </c>
      <c r="R75" s="20" t="n">
        <v>0</v>
      </c>
    </row>
    <row r="76" spans="1:18">
      <c r="A76" s="15" t="s">
        <v>418</v>
      </c>
      <c r="B76" s="17" t="n">
        <v>7115</v>
      </c>
      <c r="C76" s="18">
        <f>(6285.0/B76*100)</f>
        <v/>
      </c>
      <c r="D76" s="19" t="n">
        <v>830</v>
      </c>
      <c r="E76" s="18" t="n">
        <v>14.74563777</v>
      </c>
      <c r="F76" s="20" t="n">
        <v>1.51647819</v>
      </c>
      <c r="G76" s="18" t="n">
        <v>83.56942791</v>
      </c>
      <c r="H76" s="20" t="n">
        <v>1.65956505</v>
      </c>
      <c r="I76" s="18" t="s">
        <v>349</v>
      </c>
      <c r="J76" s="20" t="s">
        <v>349</v>
      </c>
      <c r="K76" s="18" t="n">
        <v>1.68493432</v>
      </c>
      <c r="L76" s="20" t="n">
        <v>0.53341784</v>
      </c>
      <c r="M76" s="18" t="n">
        <v>0</v>
      </c>
      <c r="N76" s="20" t="n">
        <v>0</v>
      </c>
      <c r="O76" s="18" t="n">
        <v>0</v>
      </c>
      <c r="P76" s="20" t="n">
        <v>0</v>
      </c>
      <c r="Q76" s="18" t="n">
        <v>0</v>
      </c>
      <c r="R76" s="20" t="n">
        <v>0</v>
      </c>
    </row>
    <row r="77" spans="1:18">
      <c r="A77" s="15" t="s">
        <v>419</v>
      </c>
      <c r="B77" s="17" t="n">
        <v>3154</v>
      </c>
      <c r="C77" s="18">
        <f>(2787.0/B77*100)</f>
        <v/>
      </c>
      <c r="D77" s="19" t="n">
        <v>367</v>
      </c>
      <c r="E77" s="18" t="n">
        <v>21.38262292</v>
      </c>
      <c r="F77" s="20" t="n">
        <v>2.25624119</v>
      </c>
      <c r="G77" s="18" t="n">
        <v>76.35789726</v>
      </c>
      <c r="H77" s="20" t="n">
        <v>2.25034134</v>
      </c>
      <c r="I77" s="18" t="s">
        <v>349</v>
      </c>
      <c r="J77" s="20" t="s">
        <v>349</v>
      </c>
      <c r="K77" s="18" t="n">
        <v>2.25947982</v>
      </c>
      <c r="L77" s="20" t="n">
        <v>0.80682524</v>
      </c>
      <c r="M77" s="18" t="n">
        <v>0</v>
      </c>
      <c r="N77" s="20" t="n">
        <v>0</v>
      </c>
      <c r="O77" s="18" t="n">
        <v>0</v>
      </c>
      <c r="P77" s="20" t="n">
        <v>0</v>
      </c>
      <c r="Q77" s="18" t="n">
        <v>0</v>
      </c>
      <c r="R77" s="20" t="n">
        <v>0</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(4130.0/B81*100)</f>
        <v/>
      </c>
      <c r="D81" s="19" t="n">
        <v>568</v>
      </c>
      <c r="E81" s="18" t="n">
        <v>13.44148558</v>
      </c>
      <c r="F81" s="20" t="n">
        <v>1.81978943</v>
      </c>
      <c r="G81" s="18" t="n">
        <v>85.88870202</v>
      </c>
      <c r="H81" s="20" t="n">
        <v>1.84449187</v>
      </c>
      <c r="I81" s="18" t="s">
        <v>349</v>
      </c>
      <c r="J81" s="20" t="s">
        <v>349</v>
      </c>
      <c r="K81" s="18" t="n">
        <v>0.66981241</v>
      </c>
      <c r="L81" s="20" t="n">
        <v>0.45689649</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(6293.0/B7*100)</f>
        <v/>
      </c>
      <c r="D7" s="19" t="n">
        <v>870</v>
      </c>
      <c r="E7" s="18" t="n">
        <v>11.99172367</v>
      </c>
      <c r="F7" s="20" t="n">
        <v>1.20046793</v>
      </c>
      <c r="G7" s="18" t="n">
        <v>86.66191012</v>
      </c>
      <c r="H7" s="20" t="n">
        <v>1.24294506</v>
      </c>
      <c r="I7" s="18" t="s">
        <v>349</v>
      </c>
      <c r="J7" s="20" t="s">
        <v>349</v>
      </c>
      <c r="K7" s="18" t="n">
        <v>0.3453111</v>
      </c>
      <c r="L7" s="20" t="n">
        <v>0.23988425</v>
      </c>
      <c r="M7" s="18" t="n">
        <v>0</v>
      </c>
      <c r="N7" s="20" t="n">
        <v>0</v>
      </c>
      <c r="O7" s="18" t="n">
        <v>0</v>
      </c>
      <c r="P7" s="20" t="n">
        <v>0</v>
      </c>
      <c r="Q7" s="18" t="n">
        <v>1.00105512</v>
      </c>
      <c r="R7" s="20" t="n">
        <v>0.2996284</v>
      </c>
    </row>
    <row r="8" spans="1:18">
      <c r="A8" s="15" t="s">
        <v>350</v>
      </c>
      <c r="B8" s="17" t="n">
        <v>3443</v>
      </c>
      <c r="C8" s="18">
        <f>(3019.0/B8*100)</f>
        <v/>
      </c>
      <c r="D8" s="19" t="n">
        <v>424</v>
      </c>
      <c r="E8" s="18" t="n">
        <v>11.63074181</v>
      </c>
      <c r="F8" s="20" t="n">
        <v>1.79020984</v>
      </c>
      <c r="G8" s="18" t="n">
        <v>87.21476382</v>
      </c>
      <c r="H8" s="20" t="n">
        <v>1.82387472</v>
      </c>
      <c r="I8" s="18" t="s">
        <v>349</v>
      </c>
      <c r="J8" s="20" t="s">
        <v>349</v>
      </c>
      <c r="K8" s="18" t="n">
        <v>0</v>
      </c>
      <c r="L8" s="20" t="n">
        <v>0</v>
      </c>
      <c r="M8" s="18" t="n">
        <v>0</v>
      </c>
      <c r="N8" s="20" t="n">
        <v>0</v>
      </c>
      <c r="O8" s="18" t="n">
        <v>0</v>
      </c>
      <c r="P8" s="20" t="n">
        <v>0</v>
      </c>
      <c r="Q8" s="18" t="n">
        <v>1.15449437</v>
      </c>
      <c r="R8" s="20" t="n">
        <v>0.57341124</v>
      </c>
    </row>
    <row r="9" spans="1:18">
      <c r="A9" s="15" t="s">
        <v>351</v>
      </c>
      <c r="B9" s="17" t="n">
        <v>4752</v>
      </c>
      <c r="C9" s="18">
        <f>(4190.0/B9*100)</f>
        <v/>
      </c>
      <c r="D9" s="19" t="n">
        <v>562</v>
      </c>
      <c r="E9" s="18" t="n">
        <v>13.5084459</v>
      </c>
      <c r="F9" s="20" t="n">
        <v>1.49490656</v>
      </c>
      <c r="G9" s="18" t="n">
        <v>85.86312707</v>
      </c>
      <c r="H9" s="20" t="n">
        <v>1.58198503</v>
      </c>
      <c r="I9" s="18" t="s">
        <v>349</v>
      </c>
      <c r="J9" s="20" t="s">
        <v>349</v>
      </c>
      <c r="K9" s="18" t="n">
        <v>0</v>
      </c>
      <c r="L9" s="20" t="n">
        <v>0</v>
      </c>
      <c r="M9" s="18" t="n">
        <v>0</v>
      </c>
      <c r="N9" s="20" t="n">
        <v>0</v>
      </c>
      <c r="O9" s="18" t="n">
        <v>0</v>
      </c>
      <c r="P9" s="20" t="n">
        <v>0</v>
      </c>
      <c r="Q9" s="18" t="n">
        <v>0.62842703</v>
      </c>
      <c r="R9" s="20" t="n">
        <v>0.36499861</v>
      </c>
    </row>
    <row r="10" spans="1:18">
      <c r="A10" s="15" t="s">
        <v>352</v>
      </c>
      <c r="B10" s="17" t="n">
        <v>10022</v>
      </c>
      <c r="C10" s="18">
        <f>(8774.0/B10*100)</f>
        <v/>
      </c>
      <c r="D10" s="19" t="n">
        <v>1248</v>
      </c>
      <c r="E10" s="18" t="n">
        <v>14.66148562</v>
      </c>
      <c r="F10" s="20" t="n">
        <v>1.22078784</v>
      </c>
      <c r="G10" s="18" t="n">
        <v>84.55659153000001</v>
      </c>
      <c r="H10" s="20" t="n">
        <v>1.26275671</v>
      </c>
      <c r="I10" s="18" t="s">
        <v>349</v>
      </c>
      <c r="J10" s="20" t="s">
        <v>349</v>
      </c>
      <c r="K10" s="18" t="n">
        <v>0.12300798</v>
      </c>
      <c r="L10" s="20" t="n">
        <v>0.12140333</v>
      </c>
      <c r="M10" s="18" t="n">
        <v>0</v>
      </c>
      <c r="N10" s="20" t="n">
        <v>0</v>
      </c>
      <c r="O10" s="18" t="n">
        <v>0</v>
      </c>
      <c r="P10" s="20" t="n">
        <v>0</v>
      </c>
      <c r="Q10" s="18" t="n">
        <v>0.65891487</v>
      </c>
      <c r="R10" s="20" t="n">
        <v>0.29082062</v>
      </c>
    </row>
    <row r="11" spans="1:18">
      <c r="A11" s="15" t="s">
        <v>353</v>
      </c>
      <c r="B11" s="17" t="n">
        <v>3500</v>
      </c>
      <c r="C11" s="18">
        <f>(3072.0/B11*100)</f>
        <v/>
      </c>
      <c r="D11" s="19" t="n">
        <v>428</v>
      </c>
      <c r="E11" s="18" t="n">
        <v>25.44557576</v>
      </c>
      <c r="F11" s="20" t="n">
        <v>2.19276872</v>
      </c>
      <c r="G11" s="18" t="n">
        <v>71.69187929</v>
      </c>
      <c r="H11" s="20" t="n">
        <v>2.42688403</v>
      </c>
      <c r="I11" s="18" t="s">
        <v>349</v>
      </c>
      <c r="J11" s="20" t="s">
        <v>349</v>
      </c>
      <c r="K11" s="18" t="n">
        <v>0</v>
      </c>
      <c r="L11" s="20" t="n">
        <v>0</v>
      </c>
      <c r="M11" s="18" t="n">
        <v>0</v>
      </c>
      <c r="N11" s="20" t="n">
        <v>0</v>
      </c>
      <c r="O11" s="18" t="n">
        <v>0</v>
      </c>
      <c r="P11" s="20" t="n">
        <v>0</v>
      </c>
      <c r="Q11" s="18" t="n">
        <v>2.86254495</v>
      </c>
      <c r="R11" s="20" t="n">
        <v>0.9467091</v>
      </c>
    </row>
    <row r="12" spans="1:18">
      <c r="A12" s="15" t="s">
        <v>354</v>
      </c>
      <c r="B12" s="17" t="n">
        <v>3422</v>
      </c>
      <c r="C12" s="18">
        <f>(3007.0/B12*100)</f>
        <v/>
      </c>
      <c r="D12" s="19" t="n">
        <v>415</v>
      </c>
      <c r="E12" s="18" t="n">
        <v>7.84877664</v>
      </c>
      <c r="F12" s="20" t="n">
        <v>1.27987018</v>
      </c>
      <c r="G12" s="18" t="n">
        <v>91.04819232</v>
      </c>
      <c r="H12" s="20" t="n">
        <v>1.38875849</v>
      </c>
      <c r="I12" s="18" t="s">
        <v>349</v>
      </c>
      <c r="J12" s="20" t="s">
        <v>349</v>
      </c>
      <c r="K12" s="18" t="n">
        <v>0</v>
      </c>
      <c r="L12" s="20" t="n">
        <v>0</v>
      </c>
      <c r="M12" s="18" t="n">
        <v>0</v>
      </c>
      <c r="N12" s="20" t="n">
        <v>0</v>
      </c>
      <c r="O12" s="18" t="n">
        <v>0</v>
      </c>
      <c r="P12" s="20" t="n">
        <v>0</v>
      </c>
      <c r="Q12" s="18" t="n">
        <v>1.10303105</v>
      </c>
      <c r="R12" s="20" t="n">
        <v>0.61688753</v>
      </c>
    </row>
    <row r="13" spans="1:18">
      <c r="A13" s="15" t="s">
        <v>355</v>
      </c>
      <c r="B13" s="17" t="n">
        <v>3602</v>
      </c>
      <c r="C13" s="18">
        <f>(3194.0/B13*100)</f>
        <v/>
      </c>
      <c r="D13" s="19" t="n">
        <v>408</v>
      </c>
      <c r="E13" s="18" t="n">
        <v>8.42187719</v>
      </c>
      <c r="F13" s="20" t="n">
        <v>1.55082442</v>
      </c>
      <c r="G13" s="18" t="n">
        <v>89.58608383000001</v>
      </c>
      <c r="H13" s="20" t="n">
        <v>1.69797831</v>
      </c>
      <c r="I13" s="18" t="s">
        <v>349</v>
      </c>
      <c r="J13" s="20" t="s">
        <v>349</v>
      </c>
      <c r="K13" s="18" t="n">
        <v>1.55364742</v>
      </c>
      <c r="L13" s="20" t="n">
        <v>0.96164965</v>
      </c>
      <c r="M13" s="18" t="n">
        <v>0</v>
      </c>
      <c r="N13" s="20" t="n">
        <v>0</v>
      </c>
      <c r="O13" s="18" t="n">
        <v>0</v>
      </c>
      <c r="P13" s="20" t="n">
        <v>0</v>
      </c>
      <c r="Q13" s="18" t="n">
        <v>0.43839156</v>
      </c>
      <c r="R13" s="20" t="n">
        <v>0.29830842</v>
      </c>
    </row>
    <row r="14" spans="1:18">
      <c r="A14" s="15" t="s">
        <v>356</v>
      </c>
      <c r="B14" s="17" t="n">
        <v>2788</v>
      </c>
      <c r="C14" s="18">
        <f>(2436.0/B14*100)</f>
        <v/>
      </c>
      <c r="D14" s="19" t="n">
        <v>352</v>
      </c>
      <c r="E14" s="18" t="n">
        <v>6.36471043</v>
      </c>
      <c r="F14" s="20" t="n">
        <v>1.40494387</v>
      </c>
      <c r="G14" s="18" t="n">
        <v>93.39140675</v>
      </c>
      <c r="H14" s="20" t="n">
        <v>1.38899334</v>
      </c>
      <c r="I14" s="18" t="s">
        <v>349</v>
      </c>
      <c r="J14" s="20" t="s">
        <v>349</v>
      </c>
      <c r="K14" s="18" t="n">
        <v>0</v>
      </c>
      <c r="L14" s="20" t="n">
        <v>0</v>
      </c>
      <c r="M14" s="18" t="n">
        <v>0</v>
      </c>
      <c r="N14" s="20" t="n">
        <v>0</v>
      </c>
      <c r="O14" s="18" t="n">
        <v>0</v>
      </c>
      <c r="P14" s="20" t="n">
        <v>0</v>
      </c>
      <c r="Q14" s="18" t="n">
        <v>0.24388282</v>
      </c>
      <c r="R14" s="20" t="n">
        <v>0.24596389</v>
      </c>
    </row>
    <row r="15" spans="1:18">
      <c r="A15" s="15" t="s">
        <v>357</v>
      </c>
      <c r="B15" s="17" t="n">
        <v>2863</v>
      </c>
      <c r="C15" s="18">
        <f>(2533.0/B15*100)</f>
        <v/>
      </c>
      <c r="D15" s="19" t="n">
        <v>330</v>
      </c>
      <c r="E15" s="18" t="n">
        <v>10.12751138</v>
      </c>
      <c r="F15" s="20" t="n">
        <v>1.67639995</v>
      </c>
      <c r="G15" s="18" t="n">
        <v>89.31341933</v>
      </c>
      <c r="H15" s="20" t="n">
        <v>1.84357974</v>
      </c>
      <c r="I15" s="18" t="s">
        <v>349</v>
      </c>
      <c r="J15" s="20" t="s">
        <v>349</v>
      </c>
      <c r="K15" s="18" t="n">
        <v>0</v>
      </c>
      <c r="L15" s="20" t="n">
        <v>0</v>
      </c>
      <c r="M15" s="18" t="n">
        <v>0</v>
      </c>
      <c r="N15" s="20" t="n">
        <v>0</v>
      </c>
      <c r="O15" s="18" t="n">
        <v>0</v>
      </c>
      <c r="P15" s="20" t="n">
        <v>0</v>
      </c>
      <c r="Q15" s="18" t="n">
        <v>0.5590692900000001</v>
      </c>
      <c r="R15" s="20" t="n">
        <v>0.39454094</v>
      </c>
    </row>
    <row r="16" spans="1:18">
      <c r="A16" s="15" t="s">
        <v>358</v>
      </c>
      <c r="B16" s="17" t="n">
        <v>3111</v>
      </c>
      <c r="C16" s="18">
        <f>(2741.0/B16*100)</f>
        <v/>
      </c>
      <c r="D16" s="19" t="n">
        <v>370</v>
      </c>
      <c r="E16" s="18" t="n">
        <v>13.19165989</v>
      </c>
      <c r="F16" s="20" t="n">
        <v>1.64435855</v>
      </c>
      <c r="G16" s="18" t="n">
        <v>86.08130407</v>
      </c>
      <c r="H16" s="20" t="n">
        <v>1.67227637</v>
      </c>
      <c r="I16" s="18" t="s">
        <v>349</v>
      </c>
      <c r="J16" s="20" t="s">
        <v>349</v>
      </c>
      <c r="K16" s="18" t="n">
        <v>0</v>
      </c>
      <c r="L16" s="20" t="n">
        <v>0</v>
      </c>
      <c r="M16" s="18" t="n">
        <v>0</v>
      </c>
      <c r="N16" s="20" t="n">
        <v>0</v>
      </c>
      <c r="O16" s="18" t="n">
        <v>0</v>
      </c>
      <c r="P16" s="20" t="n">
        <v>0</v>
      </c>
      <c r="Q16" s="18" t="n">
        <v>0.72703604</v>
      </c>
      <c r="R16" s="20" t="n">
        <v>0.14781245</v>
      </c>
    </row>
    <row r="17" spans="1:18">
      <c r="A17" s="15" t="s">
        <v>359</v>
      </c>
      <c r="B17" s="17" t="n">
        <v>3197</v>
      </c>
      <c r="C17" s="18">
        <f>(2835.0/B17*100)</f>
        <v/>
      </c>
      <c r="D17" s="19" t="n">
        <v>362</v>
      </c>
      <c r="E17" s="18" t="n">
        <v>15.81315256</v>
      </c>
      <c r="F17" s="20" t="n">
        <v>1.78388479</v>
      </c>
      <c r="G17" s="18" t="n">
        <v>83.31560437</v>
      </c>
      <c r="H17" s="20" t="n">
        <v>1.91909478</v>
      </c>
      <c r="I17" s="18" t="s">
        <v>349</v>
      </c>
      <c r="J17" s="20" t="s">
        <v>349</v>
      </c>
      <c r="K17" s="18" t="n">
        <v>0</v>
      </c>
      <c r="L17" s="20" t="n">
        <v>0</v>
      </c>
      <c r="M17" s="18" t="n">
        <v>0</v>
      </c>
      <c r="N17" s="20" t="n">
        <v>0</v>
      </c>
      <c r="O17" s="18" t="n">
        <v>0</v>
      </c>
      <c r="P17" s="20" t="n">
        <v>0</v>
      </c>
      <c r="Q17" s="18" t="n">
        <v>0.8712430799999999</v>
      </c>
      <c r="R17" s="20" t="n">
        <v>0.52052863</v>
      </c>
    </row>
    <row r="18" spans="1:18">
      <c r="A18" s="15" t="s">
        <v>360</v>
      </c>
      <c r="B18" s="17" t="n">
        <v>2706</v>
      </c>
      <c r="C18" s="18">
        <f>(2378.0/B18*100)</f>
        <v/>
      </c>
      <c r="D18" s="19" t="n">
        <v>328</v>
      </c>
      <c r="E18" s="18" t="n">
        <v>16.20192732</v>
      </c>
      <c r="F18" s="20" t="n">
        <v>2.23682809</v>
      </c>
      <c r="G18" s="18" t="n">
        <v>82.91393686000001</v>
      </c>
      <c r="H18" s="20" t="n">
        <v>2.26572796</v>
      </c>
      <c r="I18" s="18" t="s">
        <v>349</v>
      </c>
      <c r="J18" s="20" t="s">
        <v>349</v>
      </c>
      <c r="K18" s="18" t="n">
        <v>0</v>
      </c>
      <c r="L18" s="20" t="n">
        <v>0</v>
      </c>
      <c r="M18" s="18" t="n">
        <v>0</v>
      </c>
      <c r="N18" s="20" t="n">
        <v>0</v>
      </c>
      <c r="O18" s="18" t="n">
        <v>0</v>
      </c>
      <c r="P18" s="20" t="n">
        <v>0</v>
      </c>
      <c r="Q18" s="18" t="n">
        <v>0.88413582</v>
      </c>
      <c r="R18" s="20" t="n">
        <v>0.50359074</v>
      </c>
    </row>
    <row r="19" spans="1:18">
      <c r="A19" s="15" t="s">
        <v>361</v>
      </c>
      <c r="B19" s="17" t="n">
        <v>2850</v>
      </c>
      <c r="C19" s="18">
        <f>(2503.0/B19*100)</f>
        <v/>
      </c>
      <c r="D19" s="19" t="n">
        <v>347</v>
      </c>
      <c r="E19" s="18" t="n">
        <v>7.78723502</v>
      </c>
      <c r="F19" s="20" t="n">
        <v>1.27445193</v>
      </c>
      <c r="G19" s="18" t="n">
        <v>89.41374537</v>
      </c>
      <c r="H19" s="20" t="n">
        <v>1.5740698</v>
      </c>
      <c r="I19" s="18" t="s">
        <v>349</v>
      </c>
      <c r="J19" s="20" t="s">
        <v>349</v>
      </c>
      <c r="K19" s="18" t="n">
        <v>0</v>
      </c>
      <c r="L19" s="20" t="n">
        <v>0</v>
      </c>
      <c r="M19" s="18" t="n">
        <v>0</v>
      </c>
      <c r="N19" s="20" t="n">
        <v>0</v>
      </c>
      <c r="O19" s="18" t="n">
        <v>0</v>
      </c>
      <c r="P19" s="20" t="n">
        <v>0</v>
      </c>
      <c r="Q19" s="18" t="n">
        <v>2.79901961</v>
      </c>
      <c r="R19" s="20" t="n">
        <v>0.97905425</v>
      </c>
    </row>
    <row r="20" spans="1:18">
      <c r="A20" s="15" t="s">
        <v>362</v>
      </c>
      <c r="B20" s="17" t="n">
        <v>1741</v>
      </c>
      <c r="C20" s="18">
        <f>(1527.0/B20*100)</f>
        <v/>
      </c>
      <c r="D20" s="19" t="n">
        <v>214</v>
      </c>
      <c r="E20" s="18" t="n">
        <v>23.04056491</v>
      </c>
      <c r="F20" s="20" t="n">
        <v>2.75871655</v>
      </c>
      <c r="G20" s="18" t="n">
        <v>76.54935005999999</v>
      </c>
      <c r="H20" s="20" t="n">
        <v>2.64235459</v>
      </c>
      <c r="I20" s="18" t="s">
        <v>349</v>
      </c>
      <c r="J20" s="20" t="s">
        <v>349</v>
      </c>
      <c r="K20" s="18" t="n">
        <v>0</v>
      </c>
      <c r="L20" s="20" t="n">
        <v>0</v>
      </c>
      <c r="M20" s="18" t="n">
        <v>0</v>
      </c>
      <c r="N20" s="20" t="n">
        <v>0</v>
      </c>
      <c r="O20" s="18" t="n">
        <v>0</v>
      </c>
      <c r="P20" s="20" t="n">
        <v>0</v>
      </c>
      <c r="Q20" s="18" t="n">
        <v>0.41008502</v>
      </c>
      <c r="R20" s="20" t="n">
        <v>0.40520979</v>
      </c>
    </row>
    <row r="21" spans="1:18">
      <c r="A21" s="15" t="s">
        <v>363</v>
      </c>
      <c r="B21" s="17" t="n">
        <v>2833</v>
      </c>
      <c r="C21" s="18">
        <f>(2349.0/B21*100)</f>
        <v/>
      </c>
      <c r="D21" s="19" t="n">
        <v>484</v>
      </c>
      <c r="E21" s="18" t="n">
        <v>10.13657185</v>
      </c>
      <c r="F21" s="20" t="n">
        <v>1.49903625</v>
      </c>
      <c r="G21" s="18" t="n">
        <v>88.58063156999999</v>
      </c>
      <c r="H21" s="20" t="n">
        <v>1.65674459</v>
      </c>
      <c r="I21" s="18" t="s">
        <v>349</v>
      </c>
      <c r="J21" s="20" t="s">
        <v>349</v>
      </c>
      <c r="K21" s="18" t="n">
        <v>0</v>
      </c>
      <c r="L21" s="20" t="n">
        <v>0</v>
      </c>
      <c r="M21" s="18" t="n">
        <v>0</v>
      </c>
      <c r="N21" s="20" t="n">
        <v>0</v>
      </c>
      <c r="O21" s="18" t="n">
        <v>0</v>
      </c>
      <c r="P21" s="20" t="n">
        <v>0</v>
      </c>
      <c r="Q21" s="18" t="n">
        <v>1.28279657</v>
      </c>
      <c r="R21" s="20" t="n">
        <v>0.54504237</v>
      </c>
    </row>
    <row r="22" spans="1:18">
      <c r="A22" s="15" t="s">
        <v>364</v>
      </c>
      <c r="B22" s="17" t="n">
        <v>3667</v>
      </c>
      <c r="C22" s="18">
        <f>(3177.0/B22*100)</f>
        <v/>
      </c>
      <c r="D22" s="19" t="n">
        <v>490</v>
      </c>
      <c r="E22" s="18" t="n">
        <v>14.84673635</v>
      </c>
      <c r="F22" s="20" t="n">
        <v>1.67728138</v>
      </c>
      <c r="G22" s="18" t="n">
        <v>83.40516031</v>
      </c>
      <c r="H22" s="20" t="n">
        <v>1.84631715</v>
      </c>
      <c r="I22" s="18" t="s">
        <v>349</v>
      </c>
      <c r="J22" s="20" t="s">
        <v>349</v>
      </c>
      <c r="K22" s="18" t="n">
        <v>0.36808341</v>
      </c>
      <c r="L22" s="20" t="n">
        <v>0.26628431</v>
      </c>
      <c r="M22" s="18" t="n">
        <v>0</v>
      </c>
      <c r="N22" s="20" t="n">
        <v>0</v>
      </c>
      <c r="O22" s="18" t="n">
        <v>0</v>
      </c>
      <c r="P22" s="20" t="n">
        <v>0</v>
      </c>
      <c r="Q22" s="18" t="n">
        <v>1.38001993</v>
      </c>
      <c r="R22" s="20" t="n">
        <v>0.70450769</v>
      </c>
    </row>
    <row r="23" spans="1:18">
      <c r="A23" s="15" t="s">
        <v>365</v>
      </c>
      <c r="B23" s="17" t="n">
        <v>5792</v>
      </c>
      <c r="C23" s="18">
        <f>(5082.0/B23*100)</f>
        <v/>
      </c>
      <c r="D23" s="19" t="n">
        <v>710</v>
      </c>
      <c r="E23" s="18" t="n">
        <v>13.39122436</v>
      </c>
      <c r="F23" s="20" t="n">
        <v>2.05762665</v>
      </c>
      <c r="G23" s="18" t="n">
        <v>84.25346182</v>
      </c>
      <c r="H23" s="20" t="n">
        <v>2.1421204</v>
      </c>
      <c r="I23" s="18" t="s">
        <v>349</v>
      </c>
      <c r="J23" s="20" t="s">
        <v>349</v>
      </c>
      <c r="K23" s="18" t="n">
        <v>0.06369178</v>
      </c>
      <c r="L23" s="20" t="n">
        <v>0.06854159999999999</v>
      </c>
      <c r="M23" s="18" t="n">
        <v>0</v>
      </c>
      <c r="N23" s="20" t="n">
        <v>0</v>
      </c>
      <c r="O23" s="18" t="n">
        <v>0</v>
      </c>
      <c r="P23" s="20" t="n">
        <v>0</v>
      </c>
      <c r="Q23" s="18" t="n">
        <v>2.29162203</v>
      </c>
      <c r="R23" s="20" t="n">
        <v>1.02612888</v>
      </c>
    </row>
    <row r="24" spans="1:18">
      <c r="A24" s="15" t="s">
        <v>366</v>
      </c>
      <c r="B24" s="17" t="n">
        <v>3309</v>
      </c>
      <c r="C24" s="18">
        <f>(2907.0/B24*100)</f>
        <v/>
      </c>
      <c r="D24" s="19" t="n">
        <v>402</v>
      </c>
      <c r="E24" s="18" t="n">
        <v>23.67749113</v>
      </c>
      <c r="F24" s="20" t="n">
        <v>2.36648619</v>
      </c>
      <c r="G24" s="18" t="n">
        <v>76.06229265</v>
      </c>
      <c r="H24" s="20" t="n">
        <v>2.31500302</v>
      </c>
      <c r="I24" s="18" t="s">
        <v>349</v>
      </c>
      <c r="J24" s="20" t="s">
        <v>349</v>
      </c>
      <c r="K24" s="18" t="n">
        <v>0</v>
      </c>
      <c r="L24" s="20" t="n">
        <v>0</v>
      </c>
      <c r="M24" s="18" t="n">
        <v>0</v>
      </c>
      <c r="N24" s="20" t="n">
        <v>0</v>
      </c>
      <c r="O24" s="18" t="n">
        <v>0</v>
      </c>
      <c r="P24" s="20" t="n">
        <v>0</v>
      </c>
      <c r="Q24" s="18" t="n">
        <v>0.26021621</v>
      </c>
      <c r="R24" s="20" t="n">
        <v>0.26406971</v>
      </c>
    </row>
    <row r="25" spans="1:18">
      <c r="A25" s="15" t="s">
        <v>367</v>
      </c>
      <c r="B25" s="17" t="n">
        <v>2669</v>
      </c>
      <c r="C25" s="18">
        <f>(2338.0/B25*100)</f>
        <v/>
      </c>
      <c r="D25" s="19" t="n">
        <v>331</v>
      </c>
      <c r="E25" s="18" t="n">
        <v>18.71492038</v>
      </c>
      <c r="F25" s="20" t="n">
        <v>1.82966937</v>
      </c>
      <c r="G25" s="18" t="n">
        <v>81.01029255</v>
      </c>
      <c r="H25" s="20" t="n">
        <v>1.85776945</v>
      </c>
      <c r="I25" s="18" t="s">
        <v>349</v>
      </c>
      <c r="J25" s="20" t="s">
        <v>349</v>
      </c>
      <c r="K25" s="18" t="n">
        <v>0.27478707</v>
      </c>
      <c r="L25" s="20" t="n">
        <v>0.38770941</v>
      </c>
      <c r="M25" s="18" t="n">
        <v>0</v>
      </c>
      <c r="N25" s="20" t="n">
        <v>0</v>
      </c>
      <c r="O25" s="18" t="n">
        <v>0</v>
      </c>
      <c r="P25" s="20" t="n">
        <v>0</v>
      </c>
      <c r="Q25" s="18" t="n">
        <v>0</v>
      </c>
      <c r="R25" s="20" t="n">
        <v>0</v>
      </c>
    </row>
    <row r="26" spans="1:18">
      <c r="A26" s="15" t="s">
        <v>368</v>
      </c>
      <c r="B26" s="17" t="n">
        <v>2419</v>
      </c>
      <c r="C26" s="18">
        <f>(2125.0/B26*100)</f>
        <v/>
      </c>
      <c r="D26" s="19" t="n">
        <v>294</v>
      </c>
      <c r="E26" s="18" t="n">
        <v>9.065691660000001</v>
      </c>
      <c r="F26" s="20" t="n">
        <v>1.78152413</v>
      </c>
      <c r="G26" s="18" t="n">
        <v>90.69117018</v>
      </c>
      <c r="H26" s="20" t="n">
        <v>1.7874831</v>
      </c>
      <c r="I26" s="18" t="s">
        <v>349</v>
      </c>
      <c r="J26" s="20" t="s">
        <v>349</v>
      </c>
      <c r="K26" s="18" t="n">
        <v>0</v>
      </c>
      <c r="L26" s="20" t="n">
        <v>0</v>
      </c>
      <c r="M26" s="18" t="n">
        <v>0</v>
      </c>
      <c r="N26" s="20" t="n">
        <v>0</v>
      </c>
      <c r="O26" s="18" t="n">
        <v>0</v>
      </c>
      <c r="P26" s="20" t="n">
        <v>0</v>
      </c>
      <c r="Q26" s="18" t="n">
        <v>0.24313816</v>
      </c>
      <c r="R26" s="20" t="n">
        <v>0.24254266</v>
      </c>
    </row>
    <row r="27" spans="1:18">
      <c r="A27" s="15" t="s">
        <v>369</v>
      </c>
      <c r="B27" s="17" t="n">
        <v>2683</v>
      </c>
      <c r="C27" s="18">
        <f>(2356.0/B27*100)</f>
        <v/>
      </c>
      <c r="D27" s="19" t="n">
        <v>327</v>
      </c>
      <c r="E27" s="18" t="n">
        <v>12.0658183</v>
      </c>
      <c r="F27" s="20" t="n">
        <v>1.69974957</v>
      </c>
      <c r="G27" s="18" t="n">
        <v>87.9341817</v>
      </c>
      <c r="H27" s="20" t="n">
        <v>1.69974957</v>
      </c>
      <c r="I27" s="18" t="s">
        <v>349</v>
      </c>
      <c r="J27" s="20" t="s">
        <v>349</v>
      </c>
      <c r="K27" s="18" t="n">
        <v>0</v>
      </c>
      <c r="L27" s="20" t="n">
        <v>0</v>
      </c>
      <c r="M27" s="18" t="n">
        <v>0</v>
      </c>
      <c r="N27" s="20" t="n">
        <v>0</v>
      </c>
      <c r="O27" s="18" t="n">
        <v>0</v>
      </c>
      <c r="P27" s="20" t="n">
        <v>0</v>
      </c>
      <c r="Q27" s="18" t="n">
        <v>0</v>
      </c>
      <c r="R27" s="20" t="n">
        <v>0</v>
      </c>
    </row>
    <row r="28" spans="1:18">
      <c r="A28" s="15" t="s">
        <v>370</v>
      </c>
      <c r="B28" s="17" t="n">
        <v>3803</v>
      </c>
      <c r="C28" s="18">
        <f>(3347.0/B28*100)</f>
        <v/>
      </c>
      <c r="D28" s="19" t="n">
        <v>456</v>
      </c>
      <c r="E28" s="18" t="n">
        <v>18.06952231</v>
      </c>
      <c r="F28" s="20" t="n">
        <v>1.87570775</v>
      </c>
      <c r="G28" s="18" t="n">
        <v>81.07349876000001</v>
      </c>
      <c r="H28" s="20" t="n">
        <v>1.97897156</v>
      </c>
      <c r="I28" s="18" t="s">
        <v>349</v>
      </c>
      <c r="J28" s="20" t="s">
        <v>349</v>
      </c>
      <c r="K28" s="18" t="n">
        <v>0</v>
      </c>
      <c r="L28" s="20" t="n">
        <v>0</v>
      </c>
      <c r="M28" s="18" t="n">
        <v>0</v>
      </c>
      <c r="N28" s="20" t="n">
        <v>0</v>
      </c>
      <c r="O28" s="18" t="n">
        <v>0</v>
      </c>
      <c r="P28" s="20" t="n">
        <v>0</v>
      </c>
      <c r="Q28" s="18" t="n">
        <v>0.85697892</v>
      </c>
      <c r="R28" s="20" t="n">
        <v>0.42909815</v>
      </c>
    </row>
    <row r="29" spans="1:18">
      <c r="A29" s="15" t="s">
        <v>371</v>
      </c>
      <c r="B29" s="17" t="n">
        <v>2700</v>
      </c>
      <c r="C29" s="18">
        <f>(2327.0/B29*100)</f>
        <v/>
      </c>
      <c r="D29" s="19" t="n">
        <v>373</v>
      </c>
      <c r="E29" s="18" t="n">
        <v>11.31803751</v>
      </c>
      <c r="F29" s="20" t="n">
        <v>1.4915632</v>
      </c>
      <c r="G29" s="18" t="n">
        <v>86.84821297000001</v>
      </c>
      <c r="H29" s="20" t="n">
        <v>1.76411269</v>
      </c>
      <c r="I29" s="18" t="s">
        <v>349</v>
      </c>
      <c r="J29" s="20" t="s">
        <v>349</v>
      </c>
      <c r="K29" s="18" t="n">
        <v>0.87823892</v>
      </c>
      <c r="L29" s="20" t="n">
        <v>0.44433897</v>
      </c>
      <c r="M29" s="18" t="n">
        <v>0</v>
      </c>
      <c r="N29" s="20" t="n">
        <v>0</v>
      </c>
      <c r="O29" s="18" t="n">
        <v>0</v>
      </c>
      <c r="P29" s="20" t="n">
        <v>0</v>
      </c>
      <c r="Q29" s="18" t="n">
        <v>0.95551059</v>
      </c>
      <c r="R29" s="20" t="n">
        <v>0.6274873399999999</v>
      </c>
    </row>
    <row r="30" spans="1:18">
      <c r="A30" s="15" t="s">
        <v>372</v>
      </c>
      <c r="B30" s="17" t="n">
        <v>2257</v>
      </c>
      <c r="C30" s="18">
        <f>(1975.0/B30*100)</f>
        <v/>
      </c>
      <c r="D30" s="19" t="n">
        <v>282</v>
      </c>
      <c r="E30" s="18" t="n">
        <v>10.63215324</v>
      </c>
      <c r="F30" s="20" t="n">
        <v>1.70757461</v>
      </c>
      <c r="G30" s="18" t="n">
        <v>88.33376991</v>
      </c>
      <c r="H30" s="20" t="n">
        <v>1.80295514</v>
      </c>
      <c r="I30" s="18" t="s">
        <v>349</v>
      </c>
      <c r="J30" s="20" t="s">
        <v>349</v>
      </c>
      <c r="K30" s="18" t="n">
        <v>0</v>
      </c>
      <c r="L30" s="20" t="n">
        <v>0</v>
      </c>
      <c r="M30" s="18" t="n">
        <v>0</v>
      </c>
      <c r="N30" s="20" t="n">
        <v>0</v>
      </c>
      <c r="O30" s="18" t="n">
        <v>0</v>
      </c>
      <c r="P30" s="20" t="n">
        <v>0</v>
      </c>
      <c r="Q30" s="18" t="n">
        <v>1.03407685</v>
      </c>
      <c r="R30" s="20" t="n">
        <v>0.60133993</v>
      </c>
    </row>
    <row r="31" spans="1:18">
      <c r="A31" s="15" t="s">
        <v>373</v>
      </c>
      <c r="B31" s="17" t="n">
        <v>2706</v>
      </c>
      <c r="C31" s="18">
        <f>(2387.0/B31*100)</f>
        <v/>
      </c>
      <c r="D31" s="19" t="n">
        <v>319</v>
      </c>
      <c r="E31" s="18" t="n">
        <v>7.77703058</v>
      </c>
      <c r="F31" s="20" t="n">
        <v>1.52666305</v>
      </c>
      <c r="G31" s="18" t="n">
        <v>91.14414091</v>
      </c>
      <c r="H31" s="20" t="n">
        <v>1.67393575</v>
      </c>
      <c r="I31" s="18" t="s">
        <v>349</v>
      </c>
      <c r="J31" s="20" t="s">
        <v>349</v>
      </c>
      <c r="K31" s="18" t="n">
        <v>0.7417015</v>
      </c>
      <c r="L31" s="20" t="n">
        <v>0.59022</v>
      </c>
      <c r="M31" s="18" t="n">
        <v>0</v>
      </c>
      <c r="N31" s="20" t="n">
        <v>0</v>
      </c>
      <c r="O31" s="18" t="n">
        <v>0</v>
      </c>
      <c r="P31" s="20" t="n">
        <v>0</v>
      </c>
      <c r="Q31" s="18" t="n">
        <v>0.33712701</v>
      </c>
      <c r="R31" s="20" t="n">
        <v>0.33599908</v>
      </c>
    </row>
    <row r="32" spans="1:18">
      <c r="A32" s="15" t="s">
        <v>374</v>
      </c>
      <c r="B32" s="17" t="n">
        <v>2209</v>
      </c>
      <c r="C32" s="18">
        <f>(1849.0/B32*100)</f>
        <v/>
      </c>
      <c r="D32" s="19" t="n">
        <v>360</v>
      </c>
      <c r="E32" s="18" t="n">
        <v>10.34688654</v>
      </c>
      <c r="F32" s="20" t="n">
        <v>1.60410894</v>
      </c>
      <c r="G32" s="18" t="n">
        <v>89.37479607</v>
      </c>
      <c r="H32" s="20" t="n">
        <v>1.62325841</v>
      </c>
      <c r="I32" s="18" t="s">
        <v>349</v>
      </c>
      <c r="J32" s="20" t="s">
        <v>349</v>
      </c>
      <c r="K32" s="18" t="n">
        <v>0.27831739</v>
      </c>
      <c r="L32" s="20" t="n">
        <v>0.2780752</v>
      </c>
      <c r="M32" s="18" t="n">
        <v>0</v>
      </c>
      <c r="N32" s="20" t="n">
        <v>0</v>
      </c>
      <c r="O32" s="18" t="n">
        <v>0</v>
      </c>
      <c r="P32" s="20" t="n">
        <v>0</v>
      </c>
      <c r="Q32" s="18" t="n">
        <v>0</v>
      </c>
      <c r="R32" s="20" t="n">
        <v>0</v>
      </c>
    </row>
    <row r="33" spans="1:18">
      <c r="A33" s="15" t="s">
        <v>375</v>
      </c>
      <c r="B33" s="17" t="n">
        <v>3651</v>
      </c>
      <c r="C33" s="18">
        <f>(3210.0/B33*100)</f>
        <v/>
      </c>
      <c r="D33" s="19" t="n">
        <v>441</v>
      </c>
      <c r="E33" s="18" t="n">
        <v>12.26172824</v>
      </c>
      <c r="F33" s="20" t="n">
        <v>1.95283198</v>
      </c>
      <c r="G33" s="18" t="n">
        <v>87.33327023</v>
      </c>
      <c r="H33" s="20" t="n">
        <v>1.93593209</v>
      </c>
      <c r="I33" s="18" t="s">
        <v>349</v>
      </c>
      <c r="J33" s="20" t="s">
        <v>349</v>
      </c>
      <c r="K33" s="18" t="n">
        <v>0</v>
      </c>
      <c r="L33" s="20" t="n">
        <v>0</v>
      </c>
      <c r="M33" s="18" t="n">
        <v>0</v>
      </c>
      <c r="N33" s="20" t="n">
        <v>0</v>
      </c>
      <c r="O33" s="18" t="n">
        <v>0</v>
      </c>
      <c r="P33" s="20" t="n">
        <v>0</v>
      </c>
      <c r="Q33" s="18" t="n">
        <v>0.40500152</v>
      </c>
      <c r="R33" s="20" t="n">
        <v>0.25908327</v>
      </c>
    </row>
    <row r="34" spans="1:18">
      <c r="A34" s="15" t="s">
        <v>376</v>
      </c>
      <c r="B34" s="17" t="n">
        <v>3035</v>
      </c>
      <c r="C34" s="18">
        <f>(2650.0/B34*100)</f>
        <v/>
      </c>
      <c r="D34" s="19" t="n">
        <v>385</v>
      </c>
      <c r="E34" s="18" t="n">
        <v>12.6847387</v>
      </c>
      <c r="F34" s="20" t="n">
        <v>1.63613485</v>
      </c>
      <c r="G34" s="18" t="n">
        <v>85.65918243</v>
      </c>
      <c r="H34" s="20" t="n">
        <v>1.83956659</v>
      </c>
      <c r="I34" s="18" t="s">
        <v>349</v>
      </c>
      <c r="J34" s="20" t="s">
        <v>349</v>
      </c>
      <c r="K34" s="18" t="n">
        <v>0</v>
      </c>
      <c r="L34" s="20" t="n">
        <v>0</v>
      </c>
      <c r="M34" s="18" t="n">
        <v>0</v>
      </c>
      <c r="N34" s="20" t="n">
        <v>0</v>
      </c>
      <c r="O34" s="18" t="n">
        <v>0</v>
      </c>
      <c r="P34" s="20" t="n">
        <v>0</v>
      </c>
      <c r="Q34" s="18" t="n">
        <v>1.65607887</v>
      </c>
      <c r="R34" s="20" t="n">
        <v>0.70398008</v>
      </c>
    </row>
    <row r="35" spans="1:18">
      <c r="A35" s="15" t="s">
        <v>377</v>
      </c>
      <c r="B35" s="17" t="n">
        <v>2901</v>
      </c>
      <c r="C35" s="18">
        <f>(2551.0/B35*100)</f>
        <v/>
      </c>
      <c r="D35" s="19" t="n">
        <v>350</v>
      </c>
      <c r="E35" s="18" t="n">
        <v>9.62317455</v>
      </c>
      <c r="F35" s="20" t="n">
        <v>1.81909355</v>
      </c>
      <c r="G35" s="18" t="n">
        <v>90.37682545</v>
      </c>
      <c r="H35" s="20" t="n">
        <v>1.81909355</v>
      </c>
      <c r="I35" s="18" t="s">
        <v>349</v>
      </c>
      <c r="J35" s="20" t="s">
        <v>349</v>
      </c>
      <c r="K35" s="18" t="n">
        <v>0</v>
      </c>
      <c r="L35" s="20" t="n">
        <v>0</v>
      </c>
      <c r="M35" s="18" t="n">
        <v>0</v>
      </c>
      <c r="N35" s="20" t="n">
        <v>0</v>
      </c>
      <c r="O35" s="18" t="n">
        <v>0</v>
      </c>
      <c r="P35" s="20" t="n">
        <v>0</v>
      </c>
      <c r="Q35" s="18" t="n">
        <v>0</v>
      </c>
      <c r="R35" s="20" t="n">
        <v>0</v>
      </c>
    </row>
    <row r="36" spans="1:18">
      <c r="A36" s="15" t="s">
        <v>378</v>
      </c>
      <c r="B36" s="17" t="n">
        <v>3404</v>
      </c>
      <c r="C36" s="18">
        <f>(2974.0/B36*100)</f>
        <v/>
      </c>
      <c r="D36" s="19" t="n">
        <v>430</v>
      </c>
      <c r="E36" s="18" t="n">
        <v>15.30733826</v>
      </c>
      <c r="F36" s="20" t="n">
        <v>1.89859276</v>
      </c>
      <c r="G36" s="18" t="n">
        <v>83.54885071</v>
      </c>
      <c r="H36" s="20" t="n">
        <v>1.95003004</v>
      </c>
      <c r="I36" s="18" t="s">
        <v>349</v>
      </c>
      <c r="J36" s="20" t="s">
        <v>349</v>
      </c>
      <c r="K36" s="18" t="n">
        <v>0.13822218</v>
      </c>
      <c r="L36" s="20" t="n">
        <v>0.12806361</v>
      </c>
      <c r="M36" s="18" t="n">
        <v>0</v>
      </c>
      <c r="N36" s="20" t="n">
        <v>0</v>
      </c>
      <c r="O36" s="18" t="n">
        <v>0</v>
      </c>
      <c r="P36" s="20" t="n">
        <v>0</v>
      </c>
      <c r="Q36" s="18" t="n">
        <v>1.00558885</v>
      </c>
      <c r="R36" s="20" t="n">
        <v>0.49311486</v>
      </c>
    </row>
    <row r="37" spans="1:18">
      <c r="A37" s="15" t="s">
        <v>379</v>
      </c>
      <c r="B37" s="17" t="n">
        <v>2731</v>
      </c>
      <c r="C37" s="18">
        <f>(2404.0/B37*100)</f>
        <v/>
      </c>
      <c r="D37" s="19" t="n">
        <v>327</v>
      </c>
      <c r="E37" s="18" t="n">
        <v>13.85228218</v>
      </c>
      <c r="F37" s="20" t="n">
        <v>1.95448434</v>
      </c>
      <c r="G37" s="18" t="n">
        <v>85.18747498</v>
      </c>
      <c r="H37" s="20" t="n">
        <v>1.98757562</v>
      </c>
      <c r="I37" s="18" t="s">
        <v>349</v>
      </c>
      <c r="J37" s="20" t="s">
        <v>349</v>
      </c>
      <c r="K37" s="18" t="n">
        <v>0.35868407</v>
      </c>
      <c r="L37" s="20" t="n">
        <v>0.34480961</v>
      </c>
      <c r="M37" s="18" t="n">
        <v>0</v>
      </c>
      <c r="N37" s="20" t="n">
        <v>0</v>
      </c>
      <c r="O37" s="18" t="n">
        <v>0</v>
      </c>
      <c r="P37" s="20" t="n">
        <v>0</v>
      </c>
      <c r="Q37" s="18" t="n">
        <v>0.60155877</v>
      </c>
      <c r="R37" s="20" t="n">
        <v>0.4211642</v>
      </c>
    </row>
    <row r="38" spans="1:18">
      <c r="A38" s="15" t="s">
        <v>380</v>
      </c>
      <c r="B38" s="17" t="n">
        <v>2807</v>
      </c>
      <c r="C38" s="18">
        <f>(2330.0/B38*100)</f>
        <v/>
      </c>
      <c r="D38" s="19" t="n">
        <v>477</v>
      </c>
      <c r="E38" s="18" t="n">
        <v>15.8059814</v>
      </c>
      <c r="F38" s="20" t="n">
        <v>2.2740443</v>
      </c>
      <c r="G38" s="18" t="n">
        <v>82.83915516</v>
      </c>
      <c r="H38" s="20" t="n">
        <v>2.40221881</v>
      </c>
      <c r="I38" s="18" t="s">
        <v>349</v>
      </c>
      <c r="J38" s="20" t="s">
        <v>349</v>
      </c>
      <c r="K38" s="18" t="n">
        <v>0</v>
      </c>
      <c r="L38" s="20" t="n">
        <v>0</v>
      </c>
      <c r="M38" s="18" t="n">
        <v>0</v>
      </c>
      <c r="N38" s="20" t="n">
        <v>0</v>
      </c>
      <c r="O38" s="18" t="n">
        <v>0</v>
      </c>
      <c r="P38" s="20" t="n">
        <v>0</v>
      </c>
      <c r="Q38" s="18" t="n">
        <v>1.35486344</v>
      </c>
      <c r="R38" s="20" t="n">
        <v>0.54184283</v>
      </c>
    </row>
    <row r="39" spans="1:18">
      <c r="A39" s="15" t="s">
        <v>381</v>
      </c>
      <c r="B39" s="17" t="n">
        <v>2938</v>
      </c>
      <c r="C39" s="18">
        <f>(2568.0/B39*100)</f>
        <v/>
      </c>
      <c r="D39" s="19" t="n">
        <v>370</v>
      </c>
      <c r="E39" s="18" t="n">
        <v>31.1828642</v>
      </c>
      <c r="F39" s="20" t="n">
        <v>2.33614426</v>
      </c>
      <c r="G39" s="18" t="n">
        <v>68.37183241</v>
      </c>
      <c r="H39" s="20" t="n">
        <v>2.35544757</v>
      </c>
      <c r="I39" s="18" t="s">
        <v>349</v>
      </c>
      <c r="J39" s="20" t="s">
        <v>349</v>
      </c>
      <c r="K39" s="18" t="n">
        <v>0</v>
      </c>
      <c r="L39" s="20" t="n">
        <v>0</v>
      </c>
      <c r="M39" s="18" t="n">
        <v>0</v>
      </c>
      <c r="N39" s="20" t="n">
        <v>0</v>
      </c>
      <c r="O39" s="18" t="n">
        <v>0</v>
      </c>
      <c r="P39" s="20" t="n">
        <v>0</v>
      </c>
      <c r="Q39" s="18" t="n">
        <v>0.44530339</v>
      </c>
      <c r="R39" s="20" t="n">
        <v>0.33365314</v>
      </c>
    </row>
    <row r="40" spans="1:18">
      <c r="A40" s="15" t="s">
        <v>382</v>
      </c>
      <c r="B40" s="17" t="n">
        <v>6922</v>
      </c>
      <c r="C40" s="18">
        <f>(6056.0/B40*100)</f>
        <v/>
      </c>
      <c r="D40" s="19" t="n">
        <v>866</v>
      </c>
      <c r="E40" s="18" t="n">
        <v>12.39840458</v>
      </c>
      <c r="F40" s="20" t="n">
        <v>1.79988105</v>
      </c>
      <c r="G40" s="18" t="n">
        <v>85.82780825</v>
      </c>
      <c r="H40" s="20" t="n">
        <v>1.91795756</v>
      </c>
      <c r="I40" s="18" t="s">
        <v>349</v>
      </c>
      <c r="J40" s="20" t="s">
        <v>349</v>
      </c>
      <c r="K40" s="18" t="n">
        <v>0.01308878</v>
      </c>
      <c r="L40" s="20" t="n">
        <v>0.01316609</v>
      </c>
      <c r="M40" s="18" t="n">
        <v>0</v>
      </c>
      <c r="N40" s="20" t="n">
        <v>0</v>
      </c>
      <c r="O40" s="18" t="n">
        <v>0</v>
      </c>
      <c r="P40" s="20" t="n">
        <v>0</v>
      </c>
      <c r="Q40" s="18" t="n">
        <v>1.76069839</v>
      </c>
      <c r="R40" s="20" t="n">
        <v>0.73866741</v>
      </c>
    </row>
    <row r="41" spans="1:18">
      <c r="A41" s="15" t="s">
        <v>383</v>
      </c>
      <c r="B41" s="17" t="n">
        <v>2854</v>
      </c>
      <c r="C41" s="18">
        <f>(2500.0/B41*100)</f>
        <v/>
      </c>
      <c r="D41" s="19" t="n">
        <v>354</v>
      </c>
      <c r="E41" s="18" t="n">
        <v>13.37505436</v>
      </c>
      <c r="F41" s="20" t="n">
        <v>1.99160738</v>
      </c>
      <c r="G41" s="18" t="n">
        <v>85.86377634</v>
      </c>
      <c r="H41" s="20" t="n">
        <v>2.02410624</v>
      </c>
      <c r="I41" s="18" t="s">
        <v>349</v>
      </c>
      <c r="J41" s="20" t="s">
        <v>349</v>
      </c>
      <c r="K41" s="18" t="n">
        <v>0</v>
      </c>
      <c r="L41" s="20" t="n">
        <v>0</v>
      </c>
      <c r="M41" s="18" t="n">
        <v>0</v>
      </c>
      <c r="N41" s="20" t="n">
        <v>0</v>
      </c>
      <c r="O41" s="18" t="n">
        <v>0</v>
      </c>
      <c r="P41" s="20" t="n">
        <v>0</v>
      </c>
      <c r="Q41" s="18" t="n">
        <v>0.76116931</v>
      </c>
      <c r="R41" s="20" t="n">
        <v>0.49702087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(10642.0/B46*100)</f>
        <v/>
      </c>
      <c r="D46" s="19" t="n">
        <v>1431</v>
      </c>
      <c r="E46" s="18" t="n">
        <v>23.93105247</v>
      </c>
      <c r="F46" s="20" t="n">
        <v>1.63817784</v>
      </c>
      <c r="G46" s="18" t="n">
        <v>73.3738599</v>
      </c>
      <c r="H46" s="20" t="n">
        <v>1.71373052</v>
      </c>
      <c r="I46" s="18" t="s">
        <v>349</v>
      </c>
      <c r="J46" s="20" t="s">
        <v>349</v>
      </c>
      <c r="K46" s="18" t="n">
        <v>0.2492841</v>
      </c>
      <c r="L46" s="20" t="n">
        <v>0.18932782</v>
      </c>
      <c r="M46" s="18" t="n">
        <v>0</v>
      </c>
      <c r="N46" s="20" t="n">
        <v>0</v>
      </c>
      <c r="O46" s="18" t="n">
        <v>0</v>
      </c>
      <c r="P46" s="20" t="n">
        <v>0</v>
      </c>
      <c r="Q46" s="18" t="n">
        <v>2.44580353</v>
      </c>
      <c r="R46" s="20" t="n">
        <v>0.49484856</v>
      </c>
    </row>
    <row r="47" spans="1:18">
      <c r="A47" s="15" t="s">
        <v>389</v>
      </c>
      <c r="B47" s="17" t="n">
        <v>2823</v>
      </c>
      <c r="C47" s="18">
        <f>(2475.0/B47*100)</f>
        <v/>
      </c>
      <c r="D47" s="19" t="n">
        <v>348</v>
      </c>
      <c r="E47" s="18" t="n">
        <v>20.54394226</v>
      </c>
      <c r="F47" s="20" t="n">
        <v>2.27412836</v>
      </c>
      <c r="G47" s="18" t="n">
        <v>76.61971195</v>
      </c>
      <c r="H47" s="20" t="n">
        <v>2.62337308</v>
      </c>
      <c r="I47" s="18" t="s">
        <v>349</v>
      </c>
      <c r="J47" s="20" t="s">
        <v>349</v>
      </c>
      <c r="K47" s="18" t="n">
        <v>0</v>
      </c>
      <c r="L47" s="20" t="n">
        <v>0</v>
      </c>
      <c r="M47" s="18" t="n">
        <v>0</v>
      </c>
      <c r="N47" s="20" t="n">
        <v>0</v>
      </c>
      <c r="O47" s="18" t="n">
        <v>0</v>
      </c>
      <c r="P47" s="20" t="n">
        <v>0</v>
      </c>
      <c r="Q47" s="18" t="n">
        <v>2.83634578</v>
      </c>
      <c r="R47" s="20" t="n">
        <v>1.03195988</v>
      </c>
    </row>
    <row r="48" spans="1:18">
      <c r="A48" s="15" t="s">
        <v>390</v>
      </c>
      <c r="B48" s="17" t="n">
        <v>4682</v>
      </c>
      <c r="C48" s="18">
        <f>(4114.0/B48*100)</f>
        <v/>
      </c>
      <c r="D48" s="19" t="n">
        <v>568</v>
      </c>
      <c r="E48" s="18" t="n">
        <v>30.50140336</v>
      </c>
      <c r="F48" s="20" t="n">
        <v>3.01843756</v>
      </c>
      <c r="G48" s="18" t="n">
        <v>68.12054582</v>
      </c>
      <c r="H48" s="20" t="n">
        <v>3.04112379</v>
      </c>
      <c r="I48" s="18" t="s">
        <v>349</v>
      </c>
      <c r="J48" s="20" t="s">
        <v>349</v>
      </c>
      <c r="K48" s="18" t="n">
        <v>0</v>
      </c>
      <c r="L48" s="20" t="n">
        <v>0</v>
      </c>
      <c r="M48" s="18" t="n">
        <v>0</v>
      </c>
      <c r="N48" s="20" t="n">
        <v>0</v>
      </c>
      <c r="O48" s="18" t="n">
        <v>0</v>
      </c>
      <c r="P48" s="20" t="n">
        <v>0</v>
      </c>
      <c r="Q48" s="18" t="n">
        <v>1.37805082</v>
      </c>
      <c r="R48" s="20" t="n">
        <v>0.56821886</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(5435.0/B50*100)</f>
        <v/>
      </c>
      <c r="D50" s="19" t="n">
        <v>723</v>
      </c>
      <c r="E50" s="18" t="n">
        <v>23.0131637</v>
      </c>
      <c r="F50" s="20" t="n">
        <v>2.04419566</v>
      </c>
      <c r="G50" s="18" t="n">
        <v>75.29261185999999</v>
      </c>
      <c r="H50" s="20" t="n">
        <v>2.0668554</v>
      </c>
      <c r="I50" s="18" t="s">
        <v>349</v>
      </c>
      <c r="J50" s="20" t="s">
        <v>349</v>
      </c>
      <c r="K50" s="18" t="n">
        <v>0.51097562</v>
      </c>
      <c r="L50" s="20" t="n">
        <v>0.51195139</v>
      </c>
      <c r="M50" s="18" t="n">
        <v>0</v>
      </c>
      <c r="N50" s="20" t="n">
        <v>0</v>
      </c>
      <c r="O50" s="18" t="n">
        <v>0</v>
      </c>
      <c r="P50" s="20" t="n">
        <v>0</v>
      </c>
      <c r="Q50" s="18" t="n">
        <v>1.18324881</v>
      </c>
      <c r="R50" s="20" t="n">
        <v>0.5466519399999999</v>
      </c>
    </row>
    <row r="51" spans="1:18">
      <c r="A51" s="15" t="s">
        <v>393</v>
      </c>
      <c r="B51" s="17" t="n">
        <v>3494</v>
      </c>
      <c r="C51" s="18">
        <f>(3129.0/B51*100)</f>
        <v/>
      </c>
      <c r="D51" s="19" t="n">
        <v>365</v>
      </c>
      <c r="E51" s="18" t="n">
        <v>24.71965692</v>
      </c>
      <c r="F51" s="20" t="n">
        <v>2.75103825</v>
      </c>
      <c r="G51" s="18" t="n">
        <v>74.30233025</v>
      </c>
      <c r="H51" s="20" t="n">
        <v>2.75043424</v>
      </c>
      <c r="I51" s="18" t="s">
        <v>349</v>
      </c>
      <c r="J51" s="20" t="s">
        <v>349</v>
      </c>
      <c r="K51" s="18" t="n">
        <v>0</v>
      </c>
      <c r="L51" s="20" t="n">
        <v>0</v>
      </c>
      <c r="M51" s="18" t="n">
        <v>0</v>
      </c>
      <c r="N51" s="20" t="n">
        <v>0</v>
      </c>
      <c r="O51" s="18" t="n">
        <v>0</v>
      </c>
      <c r="P51" s="20" t="n">
        <v>0</v>
      </c>
      <c r="Q51" s="18" t="n">
        <v>0.97801282</v>
      </c>
      <c r="R51" s="20" t="n">
        <v>0.4941514</v>
      </c>
    </row>
    <row r="52" spans="1:18">
      <c r="A52" s="15" t="s">
        <v>394</v>
      </c>
      <c r="B52" s="17" t="n">
        <v>3013</v>
      </c>
      <c r="C52" s="18">
        <f>(2645.0/B52*100)</f>
        <v/>
      </c>
      <c r="D52" s="19" t="n">
        <v>368</v>
      </c>
      <c r="E52" s="18" t="n">
        <v>19.98524892</v>
      </c>
      <c r="F52" s="20" t="n">
        <v>2.25938124</v>
      </c>
      <c r="G52" s="18" t="n">
        <v>78.48900091</v>
      </c>
      <c r="H52" s="20" t="n">
        <v>2.34241595</v>
      </c>
      <c r="I52" s="18" t="s">
        <v>349</v>
      </c>
      <c r="J52" s="20" t="s">
        <v>349</v>
      </c>
      <c r="K52" s="18" t="n">
        <v>0</v>
      </c>
      <c r="L52" s="20" t="n">
        <v>0</v>
      </c>
      <c r="M52" s="18" t="n">
        <v>0</v>
      </c>
      <c r="N52" s="20" t="n">
        <v>0</v>
      </c>
      <c r="O52" s="18" t="n">
        <v>0</v>
      </c>
      <c r="P52" s="20" t="n">
        <v>0</v>
      </c>
      <c r="Q52" s="18" t="n">
        <v>1.52575017</v>
      </c>
      <c r="R52" s="20" t="n">
        <v>0.63046762</v>
      </c>
    </row>
    <row r="53" spans="1:18">
      <c r="A53" s="15" t="s">
        <v>395</v>
      </c>
      <c r="B53" s="17" t="n">
        <v>2760</v>
      </c>
      <c r="C53" s="18">
        <f>(2440.0/B53*100)</f>
        <v/>
      </c>
      <c r="D53" s="19" t="n">
        <v>320</v>
      </c>
      <c r="E53" s="18" t="n">
        <v>13.30752162</v>
      </c>
      <c r="F53" s="20" t="n">
        <v>2.10213949</v>
      </c>
      <c r="G53" s="18" t="n">
        <v>85.41250549</v>
      </c>
      <c r="H53" s="20" t="n">
        <v>2.21063865</v>
      </c>
      <c r="I53" s="18" t="s">
        <v>349</v>
      </c>
      <c r="J53" s="20" t="s">
        <v>349</v>
      </c>
      <c r="K53" s="18" t="n">
        <v>0.21861899</v>
      </c>
      <c r="L53" s="20" t="n">
        <v>0.21166024</v>
      </c>
      <c r="M53" s="18" t="n">
        <v>0</v>
      </c>
      <c r="N53" s="20" t="n">
        <v>0</v>
      </c>
      <c r="O53" s="18" t="n">
        <v>0</v>
      </c>
      <c r="P53" s="20" t="n">
        <v>0</v>
      </c>
      <c r="Q53" s="18" t="n">
        <v>1.0613539</v>
      </c>
      <c r="R53" s="20" t="n">
        <v>0.55028531</v>
      </c>
    </row>
    <row r="54" spans="1:18">
      <c r="A54" s="15" t="s">
        <v>396</v>
      </c>
      <c r="B54" s="17" t="n">
        <v>2474</v>
      </c>
      <c r="C54" s="18">
        <f>(2054.0/B54*100)</f>
        <v/>
      </c>
      <c r="D54" s="19" t="n">
        <v>420</v>
      </c>
      <c r="E54" s="18" t="n">
        <v>35.15103805</v>
      </c>
      <c r="F54" s="20" t="n">
        <v>2.39386284</v>
      </c>
      <c r="G54" s="18" t="n">
        <v>57.39723255</v>
      </c>
      <c r="H54" s="20" t="n">
        <v>2.49418161</v>
      </c>
      <c r="I54" s="18" t="s">
        <v>349</v>
      </c>
      <c r="J54" s="20" t="s">
        <v>349</v>
      </c>
      <c r="K54" s="18" t="n">
        <v>1.2498012</v>
      </c>
      <c r="L54" s="20" t="n">
        <v>0.52335314</v>
      </c>
      <c r="M54" s="18" t="n">
        <v>0</v>
      </c>
      <c r="N54" s="20" t="n">
        <v>0</v>
      </c>
      <c r="O54" s="18" t="n">
        <v>0</v>
      </c>
      <c r="P54" s="20" t="n">
        <v>0</v>
      </c>
      <c r="Q54" s="18" t="n">
        <v>6.2019282</v>
      </c>
      <c r="R54" s="20" t="n">
        <v>1.38767117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(2357.0/B56*100)</f>
        <v/>
      </c>
      <c r="D56" s="19" t="n">
        <v>318</v>
      </c>
      <c r="E56" s="18" t="n">
        <v>25.58166624</v>
      </c>
      <c r="F56" s="20" t="n">
        <v>2.38388846</v>
      </c>
      <c r="G56" s="18" t="n">
        <v>73.50944593</v>
      </c>
      <c r="H56" s="20" t="n">
        <v>2.46155651</v>
      </c>
      <c r="I56" s="18" t="s">
        <v>349</v>
      </c>
      <c r="J56" s="20" t="s">
        <v>349</v>
      </c>
      <c r="K56" s="18" t="n">
        <v>0</v>
      </c>
      <c r="L56" s="20" t="n">
        <v>0</v>
      </c>
      <c r="M56" s="18" t="n">
        <v>0</v>
      </c>
      <c r="N56" s="20" t="n">
        <v>0</v>
      </c>
      <c r="O56" s="18" t="n">
        <v>0</v>
      </c>
      <c r="P56" s="20" t="n">
        <v>0</v>
      </c>
      <c r="Q56" s="18" t="n">
        <v>0.90888783</v>
      </c>
      <c r="R56" s="20" t="n">
        <v>0.53348327</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(2800.0/B61*100)</f>
        <v/>
      </c>
      <c r="D61" s="19" t="n">
        <v>401</v>
      </c>
      <c r="E61" s="18" t="n">
        <v>20.60957941</v>
      </c>
      <c r="F61" s="20" t="n">
        <v>2.35030196</v>
      </c>
      <c r="G61" s="18" t="n">
        <v>79.04491811</v>
      </c>
      <c r="H61" s="20" t="n">
        <v>2.37013151</v>
      </c>
      <c r="I61" s="18" t="s">
        <v>349</v>
      </c>
      <c r="J61" s="20" t="s">
        <v>349</v>
      </c>
      <c r="K61" s="18" t="n">
        <v>0</v>
      </c>
      <c r="L61" s="20" t="n">
        <v>0</v>
      </c>
      <c r="M61" s="18" t="n">
        <v>0</v>
      </c>
      <c r="N61" s="20" t="n">
        <v>0</v>
      </c>
      <c r="O61" s="18" t="n">
        <v>0</v>
      </c>
      <c r="P61" s="20" t="n">
        <v>0</v>
      </c>
      <c r="Q61" s="18" t="n">
        <v>0.34550248</v>
      </c>
      <c r="R61" s="20" t="n">
        <v>0.35878292</v>
      </c>
    </row>
    <row r="62" spans="1:18">
      <c r="A62" s="15" t="s">
        <v>404</v>
      </c>
      <c r="B62" s="17" t="n">
        <v>2230</v>
      </c>
      <c r="C62" s="18">
        <f>(1968.0/B62*100)</f>
        <v/>
      </c>
      <c r="D62" s="19" t="n">
        <v>262</v>
      </c>
      <c r="E62" s="18" t="n">
        <v>27.80843945</v>
      </c>
      <c r="F62" s="20" t="n">
        <v>2.95539542</v>
      </c>
      <c r="G62" s="18" t="n">
        <v>72.19156055000001</v>
      </c>
      <c r="H62" s="20" t="n">
        <v>2.95539542</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(2429.0/B66*100)</f>
        <v/>
      </c>
      <c r="D66" s="19" t="n">
        <v>342</v>
      </c>
      <c r="E66" s="18" t="n">
        <v>16.25226365</v>
      </c>
      <c r="F66" s="20" t="n">
        <v>1.77390987</v>
      </c>
      <c r="G66" s="18" t="n">
        <v>80.68222905</v>
      </c>
      <c r="H66" s="20" t="n">
        <v>1.90208239</v>
      </c>
      <c r="I66" s="18" t="s">
        <v>349</v>
      </c>
      <c r="J66" s="20" t="s">
        <v>349</v>
      </c>
      <c r="K66" s="18" t="n">
        <v>0.24657968</v>
      </c>
      <c r="L66" s="20" t="n">
        <v>0.24653258</v>
      </c>
      <c r="M66" s="18" t="n">
        <v>0</v>
      </c>
      <c r="N66" s="20" t="n">
        <v>0</v>
      </c>
      <c r="O66" s="18" t="n">
        <v>0</v>
      </c>
      <c r="P66" s="20" t="n">
        <v>0</v>
      </c>
      <c r="Q66" s="18" t="n">
        <v>2.81892762</v>
      </c>
      <c r="R66" s="20" t="n">
        <v>0.96413349</v>
      </c>
    </row>
    <row r="67" spans="1:18">
      <c r="A67" s="15" t="s">
        <v>409</v>
      </c>
      <c r="B67" s="17" t="n">
        <v>3460</v>
      </c>
      <c r="C67" s="18">
        <f>(3020.0/B67*100)</f>
        <v/>
      </c>
      <c r="D67" s="19" t="n">
        <v>440</v>
      </c>
      <c r="E67" s="18" t="n">
        <v>21.18531113</v>
      </c>
      <c r="F67" s="20" t="n">
        <v>2.05076916</v>
      </c>
      <c r="G67" s="18" t="n">
        <v>76.1741997</v>
      </c>
      <c r="H67" s="20" t="n">
        <v>2.17937495</v>
      </c>
      <c r="I67" s="18" t="s">
        <v>349</v>
      </c>
      <c r="J67" s="20" t="s">
        <v>349</v>
      </c>
      <c r="K67" s="18" t="n">
        <v>0</v>
      </c>
      <c r="L67" s="20" t="n">
        <v>0</v>
      </c>
      <c r="M67" s="18" t="n">
        <v>0</v>
      </c>
      <c r="N67" s="20" t="n">
        <v>0</v>
      </c>
      <c r="O67" s="18" t="n">
        <v>0</v>
      </c>
      <c r="P67" s="20" t="n">
        <v>0</v>
      </c>
      <c r="Q67" s="18" t="n">
        <v>2.64048917</v>
      </c>
      <c r="R67" s="20" t="n">
        <v>0.83215533</v>
      </c>
    </row>
    <row r="68" spans="1:18">
      <c r="A68" s="15" t="s">
        <v>410</v>
      </c>
      <c r="B68" s="17" t="n">
        <v>6034</v>
      </c>
      <c r="C68" s="18">
        <f>(5046.0/B68*100)</f>
        <v/>
      </c>
      <c r="D68" s="19" t="n">
        <v>988</v>
      </c>
      <c r="E68" s="18" t="n">
        <v>18.86831456</v>
      </c>
      <c r="F68" s="20" t="n">
        <v>1.37791744</v>
      </c>
      <c r="G68" s="18" t="n">
        <v>79.20116729</v>
      </c>
      <c r="H68" s="20" t="n">
        <v>1.35593727</v>
      </c>
      <c r="I68" s="18" t="s">
        <v>349</v>
      </c>
      <c r="J68" s="20" t="s">
        <v>349</v>
      </c>
      <c r="K68" s="18" t="n">
        <v>0.70564141</v>
      </c>
      <c r="L68" s="20" t="n">
        <v>0.30221583</v>
      </c>
      <c r="M68" s="18" t="n">
        <v>0</v>
      </c>
      <c r="N68" s="20" t="n">
        <v>0</v>
      </c>
      <c r="O68" s="18" t="n">
        <v>0</v>
      </c>
      <c r="P68" s="20" t="n">
        <v>0</v>
      </c>
      <c r="Q68" s="18" t="n">
        <v>1.22487674</v>
      </c>
      <c r="R68" s="20" t="n">
        <v>0.36096955</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(2732.0/B70*100)</f>
        <v/>
      </c>
      <c r="D70" s="19" t="n">
        <v>375</v>
      </c>
      <c r="E70" s="18" t="n">
        <v>13.5633806</v>
      </c>
      <c r="F70" s="20" t="n">
        <v>2.04025867</v>
      </c>
      <c r="G70" s="18" t="n">
        <v>85.89857858000001</v>
      </c>
      <c r="H70" s="20" t="n">
        <v>2.09776865</v>
      </c>
      <c r="I70" s="18" t="s">
        <v>349</v>
      </c>
      <c r="J70" s="20" t="s">
        <v>349</v>
      </c>
      <c r="K70" s="18" t="n">
        <v>0.32366779</v>
      </c>
      <c r="L70" s="20" t="n">
        <v>0.22856999</v>
      </c>
      <c r="M70" s="18" t="n">
        <v>0</v>
      </c>
      <c r="N70" s="20" t="n">
        <v>0</v>
      </c>
      <c r="O70" s="18" t="n">
        <v>0</v>
      </c>
      <c r="P70" s="20" t="n">
        <v>0</v>
      </c>
      <c r="Q70" s="18" t="n">
        <v>0.21437303</v>
      </c>
      <c r="R70" s="20" t="n">
        <v>0.21315615</v>
      </c>
    </row>
    <row r="71" spans="1:18">
      <c r="A71" s="15" t="s">
        <v>413</v>
      </c>
      <c r="B71" s="17" t="n">
        <v>2973</v>
      </c>
      <c r="C71" s="18">
        <f>(2593.0/B71*100)</f>
        <v/>
      </c>
      <c r="D71" s="19" t="n">
        <v>380</v>
      </c>
      <c r="E71" s="18" t="n">
        <v>13.86146968</v>
      </c>
      <c r="F71" s="20" t="n">
        <v>2.07288082</v>
      </c>
      <c r="G71" s="18" t="n">
        <v>85.96014291</v>
      </c>
      <c r="H71" s="20" t="n">
        <v>2.08439506</v>
      </c>
      <c r="I71" s="18" t="s">
        <v>349</v>
      </c>
      <c r="J71" s="20" t="s">
        <v>349</v>
      </c>
      <c r="K71" s="18" t="n">
        <v>0</v>
      </c>
      <c r="L71" s="20" t="n">
        <v>0</v>
      </c>
      <c r="M71" s="18" t="n">
        <v>0</v>
      </c>
      <c r="N71" s="20" t="n">
        <v>0</v>
      </c>
      <c r="O71" s="18" t="n">
        <v>0</v>
      </c>
      <c r="P71" s="20" t="n">
        <v>0</v>
      </c>
      <c r="Q71" s="18" t="n">
        <v>0.17838742</v>
      </c>
      <c r="R71" s="20" t="n">
        <v>0.17902745</v>
      </c>
    </row>
    <row r="72" spans="1:18">
      <c r="A72" s="15" t="s">
        <v>414</v>
      </c>
      <c r="B72" s="17" t="n">
        <v>3819</v>
      </c>
      <c r="C72" s="18">
        <f>(3341.0/B72*100)</f>
        <v/>
      </c>
      <c r="D72" s="19" t="n">
        <v>478</v>
      </c>
      <c r="E72" s="18" t="n">
        <v>41.17147274</v>
      </c>
      <c r="F72" s="20" t="n">
        <v>2.63726015</v>
      </c>
      <c r="G72" s="18" t="n">
        <v>58.60255153</v>
      </c>
      <c r="H72" s="20" t="n">
        <v>2.66864451</v>
      </c>
      <c r="I72" s="18" t="s">
        <v>349</v>
      </c>
      <c r="J72" s="20" t="s">
        <v>349</v>
      </c>
      <c r="K72" s="18" t="n">
        <v>0</v>
      </c>
      <c r="L72" s="20" t="n">
        <v>0</v>
      </c>
      <c r="M72" s="18" t="n">
        <v>0</v>
      </c>
      <c r="N72" s="20" t="n">
        <v>0</v>
      </c>
      <c r="O72" s="18" t="n">
        <v>0</v>
      </c>
      <c r="P72" s="20" t="n">
        <v>0</v>
      </c>
      <c r="Q72" s="18" t="n">
        <v>0.22597573</v>
      </c>
      <c r="R72" s="20" t="n">
        <v>0.22656799</v>
      </c>
    </row>
    <row r="73" spans="1:18">
      <c r="A73" s="15" t="s">
        <v>415</v>
      </c>
      <c r="B73" s="17" t="n">
        <v>4652</v>
      </c>
      <c r="C73" s="18">
        <f>(4088.0/B73*100)</f>
        <v/>
      </c>
      <c r="D73" s="19" t="n">
        <v>564</v>
      </c>
      <c r="E73" s="18" t="n">
        <v>25.01313628</v>
      </c>
      <c r="F73" s="20" t="n">
        <v>2.2795856</v>
      </c>
      <c r="G73" s="18" t="n">
        <v>73.84401517000001</v>
      </c>
      <c r="H73" s="20" t="n">
        <v>2.26680462</v>
      </c>
      <c r="I73" s="18" t="s">
        <v>349</v>
      </c>
      <c r="J73" s="20" t="s">
        <v>349</v>
      </c>
      <c r="K73" s="18" t="n">
        <v>0</v>
      </c>
      <c r="L73" s="20" t="n">
        <v>0</v>
      </c>
      <c r="M73" s="18" t="n">
        <v>0</v>
      </c>
      <c r="N73" s="20" t="n">
        <v>0</v>
      </c>
      <c r="O73" s="18" t="n">
        <v>0</v>
      </c>
      <c r="P73" s="20" t="n">
        <v>0</v>
      </c>
      <c r="Q73" s="18" t="n">
        <v>1.14284855</v>
      </c>
      <c r="R73" s="20" t="n">
        <v>0.5101045</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(2615.0/B75*100)</f>
        <v/>
      </c>
      <c r="D75" s="19" t="n">
        <v>354</v>
      </c>
      <c r="E75" s="18" t="n">
        <v>21.13404479</v>
      </c>
      <c r="F75" s="20" t="n">
        <v>1.7632899</v>
      </c>
      <c r="G75" s="18" t="n">
        <v>75.66593865</v>
      </c>
      <c r="H75" s="20" t="n">
        <v>2.05399512</v>
      </c>
      <c r="I75" s="18" t="s">
        <v>349</v>
      </c>
      <c r="J75" s="20" t="s">
        <v>349</v>
      </c>
      <c r="K75" s="18" t="n">
        <v>1.5178969</v>
      </c>
      <c r="L75" s="20" t="n">
        <v>0.64374309</v>
      </c>
      <c r="M75" s="18" t="n">
        <v>0</v>
      </c>
      <c r="N75" s="20" t="n">
        <v>0</v>
      </c>
      <c r="O75" s="18" t="n">
        <v>0</v>
      </c>
      <c r="P75" s="20" t="n">
        <v>0</v>
      </c>
      <c r="Q75" s="18" t="n">
        <v>1.68211965</v>
      </c>
      <c r="R75" s="20" t="n">
        <v>0.67472623</v>
      </c>
    </row>
    <row r="76" spans="1:18">
      <c r="A76" s="15" t="s">
        <v>418</v>
      </c>
      <c r="B76" s="17" t="n">
        <v>7115</v>
      </c>
      <c r="C76" s="18">
        <f>(6237.0/B76*100)</f>
        <v/>
      </c>
      <c r="D76" s="19" t="n">
        <v>878</v>
      </c>
      <c r="E76" s="18" t="n">
        <v>17.08535931</v>
      </c>
      <c r="F76" s="20" t="n">
        <v>1.54963059</v>
      </c>
      <c r="G76" s="18" t="n">
        <v>82.00241267</v>
      </c>
      <c r="H76" s="20" t="n">
        <v>1.54035563</v>
      </c>
      <c r="I76" s="18" t="s">
        <v>349</v>
      </c>
      <c r="J76" s="20" t="s">
        <v>349</v>
      </c>
      <c r="K76" s="18" t="n">
        <v>0.33669555</v>
      </c>
      <c r="L76" s="20" t="n">
        <v>0.26664547</v>
      </c>
      <c r="M76" s="18" t="n">
        <v>0</v>
      </c>
      <c r="N76" s="20" t="n">
        <v>0</v>
      </c>
      <c r="O76" s="18" t="n">
        <v>0</v>
      </c>
      <c r="P76" s="20" t="n">
        <v>0</v>
      </c>
      <c r="Q76" s="18" t="n">
        <v>0.57553248</v>
      </c>
      <c r="R76" s="20" t="n">
        <v>0.27419579</v>
      </c>
    </row>
    <row r="77" spans="1:18">
      <c r="A77" s="15" t="s">
        <v>419</v>
      </c>
      <c r="B77" s="17" t="n">
        <v>3154</v>
      </c>
      <c r="C77" s="18">
        <f>(2774.0/B77*100)</f>
        <v/>
      </c>
      <c r="D77" s="19" t="n">
        <v>380</v>
      </c>
      <c r="E77" s="18" t="n">
        <v>22.60061596</v>
      </c>
      <c r="F77" s="20" t="n">
        <v>2.35382866</v>
      </c>
      <c r="G77" s="18" t="n">
        <v>75.82889949</v>
      </c>
      <c r="H77" s="20" t="n">
        <v>2.30789919</v>
      </c>
      <c r="I77" s="18" t="s">
        <v>349</v>
      </c>
      <c r="J77" s="20" t="s">
        <v>349</v>
      </c>
      <c r="K77" s="18" t="n">
        <v>0</v>
      </c>
      <c r="L77" s="20" t="n">
        <v>0</v>
      </c>
      <c r="M77" s="18" t="n">
        <v>0</v>
      </c>
      <c r="N77" s="20" t="n">
        <v>0</v>
      </c>
      <c r="O77" s="18" t="n">
        <v>0</v>
      </c>
      <c r="P77" s="20" t="n">
        <v>0</v>
      </c>
      <c r="Q77" s="18" t="n">
        <v>1.57048455</v>
      </c>
      <c r="R77" s="20" t="n">
        <v>0.75237014</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(4119.0/B81*100)</f>
        <v/>
      </c>
      <c r="D81" s="19" t="n">
        <v>579</v>
      </c>
      <c r="E81" s="18" t="n">
        <v>13.04006531</v>
      </c>
      <c r="F81" s="20" t="n">
        <v>1.74937166</v>
      </c>
      <c r="G81" s="18" t="n">
        <v>86.23308206999999</v>
      </c>
      <c r="H81" s="20" t="n">
        <v>1.68215253</v>
      </c>
      <c r="I81" s="18" t="s">
        <v>349</v>
      </c>
      <c r="J81" s="20" t="s">
        <v>349</v>
      </c>
      <c r="K81" s="18" t="n">
        <v>0.23222901</v>
      </c>
      <c r="L81" s="20" t="n">
        <v>0.23162311</v>
      </c>
      <c r="M81" s="18" t="n">
        <v>0</v>
      </c>
      <c r="N81" s="20" t="n">
        <v>0</v>
      </c>
      <c r="O81" s="18" t="n">
        <v>0</v>
      </c>
      <c r="P81" s="20" t="n">
        <v>0</v>
      </c>
      <c r="Q81" s="18" t="n">
        <v>0.49462362</v>
      </c>
      <c r="R81" s="20" t="n">
        <v>0.34949393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(6293.0/B7*100)</f>
        <v/>
      </c>
      <c r="D7" s="19" t="n">
        <v>870</v>
      </c>
      <c r="E7" s="18" t="n">
        <v>62.38975906</v>
      </c>
      <c r="F7" s="20" t="n">
        <v>2.09579003</v>
      </c>
      <c r="G7" s="18" t="n">
        <v>35.45504553</v>
      </c>
      <c r="H7" s="20" t="n">
        <v>2.03794753</v>
      </c>
      <c r="I7" s="18" t="s">
        <v>349</v>
      </c>
      <c r="J7" s="20" t="s">
        <v>349</v>
      </c>
      <c r="K7" s="18" t="n">
        <v>0.3453111</v>
      </c>
      <c r="L7" s="20" t="n">
        <v>0.23988425</v>
      </c>
      <c r="M7" s="18" t="n">
        <v>0</v>
      </c>
      <c r="N7" s="20" t="n">
        <v>0</v>
      </c>
      <c r="O7" s="18" t="n">
        <v>0</v>
      </c>
      <c r="P7" s="20" t="n">
        <v>0</v>
      </c>
      <c r="Q7" s="18" t="n">
        <v>1.80988431</v>
      </c>
      <c r="R7" s="20" t="n">
        <v>0.5245393</v>
      </c>
    </row>
    <row r="8" spans="1:18">
      <c r="A8" s="15" t="s">
        <v>350</v>
      </c>
      <c r="B8" s="17" t="n">
        <v>3443</v>
      </c>
      <c r="C8" s="18">
        <f>(3019.0/B8*100)</f>
        <v/>
      </c>
      <c r="D8" s="19" t="n">
        <v>424</v>
      </c>
      <c r="E8" s="18" t="n">
        <v>72.53275441</v>
      </c>
      <c r="F8" s="20" t="n">
        <v>2.52425685</v>
      </c>
      <c r="G8" s="18" t="n">
        <v>25.13935317</v>
      </c>
      <c r="H8" s="20" t="n">
        <v>2.5590712</v>
      </c>
      <c r="I8" s="18" t="s">
        <v>349</v>
      </c>
      <c r="J8" s="20" t="s">
        <v>349</v>
      </c>
      <c r="K8" s="18" t="n">
        <v>0</v>
      </c>
      <c r="L8" s="20" t="n">
        <v>0</v>
      </c>
      <c r="M8" s="18" t="n">
        <v>0</v>
      </c>
      <c r="N8" s="20" t="n">
        <v>0</v>
      </c>
      <c r="O8" s="18" t="n">
        <v>0</v>
      </c>
      <c r="P8" s="20" t="n">
        <v>0</v>
      </c>
      <c r="Q8" s="18" t="n">
        <v>2.32789242</v>
      </c>
      <c r="R8" s="20" t="n">
        <v>0.81178317</v>
      </c>
    </row>
    <row r="9" spans="1:18">
      <c r="A9" s="15" t="s">
        <v>351</v>
      </c>
      <c r="B9" s="17" t="n">
        <v>4752</v>
      </c>
      <c r="C9" s="18">
        <f>(4190.0/B9*100)</f>
        <v/>
      </c>
      <c r="D9" s="19" t="n">
        <v>562</v>
      </c>
      <c r="E9" s="18" t="n">
        <v>58.14122497</v>
      </c>
      <c r="F9" s="20" t="n">
        <v>2.16957363</v>
      </c>
      <c r="G9" s="18" t="n">
        <v>40.73666894</v>
      </c>
      <c r="H9" s="20" t="n">
        <v>2.13709365</v>
      </c>
      <c r="I9" s="18" t="s">
        <v>349</v>
      </c>
      <c r="J9" s="20" t="s">
        <v>349</v>
      </c>
      <c r="K9" s="18" t="n">
        <v>0.08322236</v>
      </c>
      <c r="L9" s="20" t="n">
        <v>0.08290198999999999</v>
      </c>
      <c r="M9" s="18" t="n">
        <v>0</v>
      </c>
      <c r="N9" s="20" t="n">
        <v>0</v>
      </c>
      <c r="O9" s="18" t="n">
        <v>0</v>
      </c>
      <c r="P9" s="20" t="n">
        <v>0</v>
      </c>
      <c r="Q9" s="18" t="n">
        <v>1.03888374</v>
      </c>
      <c r="R9" s="20" t="n">
        <v>0.38749533</v>
      </c>
    </row>
    <row r="10" spans="1:18">
      <c r="A10" s="15" t="s">
        <v>352</v>
      </c>
      <c r="B10" s="17" t="n">
        <v>10022</v>
      </c>
      <c r="C10" s="18">
        <f>(8775.0/B10*100)</f>
        <v/>
      </c>
      <c r="D10" s="19" t="n">
        <v>1247</v>
      </c>
      <c r="E10" s="18" t="n">
        <v>57.99224493</v>
      </c>
      <c r="F10" s="20" t="n">
        <v>1.95039289</v>
      </c>
      <c r="G10" s="18" t="n">
        <v>41.21767733</v>
      </c>
      <c r="H10" s="20" t="n">
        <v>1.89639172</v>
      </c>
      <c r="I10" s="18" t="s">
        <v>349</v>
      </c>
      <c r="J10" s="20" t="s">
        <v>349</v>
      </c>
      <c r="K10" s="18" t="n">
        <v>0.12319333</v>
      </c>
      <c r="L10" s="20" t="n">
        <v>0.12159425</v>
      </c>
      <c r="M10" s="18" t="n">
        <v>0</v>
      </c>
      <c r="N10" s="20" t="n">
        <v>0</v>
      </c>
      <c r="O10" s="18" t="n">
        <v>0</v>
      </c>
      <c r="P10" s="20" t="n">
        <v>0</v>
      </c>
      <c r="Q10" s="18" t="n">
        <v>0.66688441</v>
      </c>
      <c r="R10" s="20" t="n">
        <v>0.33226793</v>
      </c>
    </row>
    <row r="11" spans="1:18">
      <c r="A11" s="15" t="s">
        <v>353</v>
      </c>
      <c r="B11" s="17" t="n">
        <v>3500</v>
      </c>
      <c r="C11" s="18">
        <f>(3073.0/B11*100)</f>
        <v/>
      </c>
      <c r="D11" s="19" t="n">
        <v>427</v>
      </c>
      <c r="E11" s="18" t="n">
        <v>61.04112233</v>
      </c>
      <c r="F11" s="20" t="n">
        <v>2.86543123</v>
      </c>
      <c r="G11" s="18" t="n">
        <v>33.9119129</v>
      </c>
      <c r="H11" s="20" t="n">
        <v>2.72894479</v>
      </c>
      <c r="I11" s="18" t="s">
        <v>349</v>
      </c>
      <c r="J11" s="20" t="s">
        <v>349</v>
      </c>
      <c r="K11" s="18" t="n">
        <v>0</v>
      </c>
      <c r="L11" s="20" t="n">
        <v>0</v>
      </c>
      <c r="M11" s="18" t="n">
        <v>0</v>
      </c>
      <c r="N11" s="20" t="n">
        <v>0</v>
      </c>
      <c r="O11" s="18" t="n">
        <v>0</v>
      </c>
      <c r="P11" s="20" t="n">
        <v>0</v>
      </c>
      <c r="Q11" s="18" t="n">
        <v>5.04696477</v>
      </c>
      <c r="R11" s="20" t="n">
        <v>1.3167522</v>
      </c>
    </row>
    <row r="12" spans="1:18">
      <c r="A12" s="15" t="s">
        <v>354</v>
      </c>
      <c r="B12" s="17" t="n">
        <v>3422</v>
      </c>
      <c r="C12" s="18">
        <f>(3007.0/B12*100)</f>
        <v/>
      </c>
      <c r="D12" s="19" t="n">
        <v>415</v>
      </c>
      <c r="E12" s="18" t="n">
        <v>66.82876392</v>
      </c>
      <c r="F12" s="20" t="n">
        <v>2.52004734</v>
      </c>
      <c r="G12" s="18" t="n">
        <v>31.21096139</v>
      </c>
      <c r="H12" s="20" t="n">
        <v>2.48213338</v>
      </c>
      <c r="I12" s="18" t="s">
        <v>349</v>
      </c>
      <c r="J12" s="20" t="s">
        <v>349</v>
      </c>
      <c r="K12" s="18" t="n">
        <v>0</v>
      </c>
      <c r="L12" s="20" t="n">
        <v>0</v>
      </c>
      <c r="M12" s="18" t="n">
        <v>0</v>
      </c>
      <c r="N12" s="20" t="n">
        <v>0</v>
      </c>
      <c r="O12" s="18" t="n">
        <v>0</v>
      </c>
      <c r="P12" s="20" t="n">
        <v>0</v>
      </c>
      <c r="Q12" s="18" t="n">
        <v>1.96027469</v>
      </c>
      <c r="R12" s="20" t="n">
        <v>0.7528174399999999</v>
      </c>
    </row>
    <row r="13" spans="1:18">
      <c r="A13" s="15" t="s">
        <v>355</v>
      </c>
      <c r="B13" s="17" t="n">
        <v>3602</v>
      </c>
      <c r="C13" s="18">
        <f>(3194.0/B13*100)</f>
        <v/>
      </c>
      <c r="D13" s="19" t="n">
        <v>408</v>
      </c>
      <c r="E13" s="18" t="n">
        <v>63.61152971</v>
      </c>
      <c r="F13" s="20" t="n">
        <v>2.91394792</v>
      </c>
      <c r="G13" s="18" t="n">
        <v>34.30873626</v>
      </c>
      <c r="H13" s="20" t="n">
        <v>2.88876112</v>
      </c>
      <c r="I13" s="18" t="s">
        <v>349</v>
      </c>
      <c r="J13" s="20" t="s">
        <v>349</v>
      </c>
      <c r="K13" s="18" t="n">
        <v>1.55364742</v>
      </c>
      <c r="L13" s="20" t="n">
        <v>0.96164965</v>
      </c>
      <c r="M13" s="18" t="n">
        <v>0</v>
      </c>
      <c r="N13" s="20" t="n">
        <v>0</v>
      </c>
      <c r="O13" s="18" t="n">
        <v>0</v>
      </c>
      <c r="P13" s="20" t="n">
        <v>0</v>
      </c>
      <c r="Q13" s="18" t="n">
        <v>0.52608661</v>
      </c>
      <c r="R13" s="20" t="n">
        <v>0.27753833</v>
      </c>
    </row>
    <row r="14" spans="1:18">
      <c r="A14" s="15" t="s">
        <v>356</v>
      </c>
      <c r="B14" s="17" t="n">
        <v>2788</v>
      </c>
      <c r="C14" s="18">
        <f>(2436.0/B14*100)</f>
        <v/>
      </c>
      <c r="D14" s="19" t="n">
        <v>352</v>
      </c>
      <c r="E14" s="18" t="n">
        <v>71.39987909</v>
      </c>
      <c r="F14" s="20" t="n">
        <v>2.32436869</v>
      </c>
      <c r="G14" s="18" t="n">
        <v>26.39245187</v>
      </c>
      <c r="H14" s="20" t="n">
        <v>2.00937592</v>
      </c>
      <c r="I14" s="18" t="s">
        <v>349</v>
      </c>
      <c r="J14" s="20" t="s">
        <v>349</v>
      </c>
      <c r="K14" s="18" t="n">
        <v>0</v>
      </c>
      <c r="L14" s="20" t="n">
        <v>0</v>
      </c>
      <c r="M14" s="18" t="n">
        <v>0</v>
      </c>
      <c r="N14" s="20" t="n">
        <v>0</v>
      </c>
      <c r="O14" s="18" t="n">
        <v>0</v>
      </c>
      <c r="P14" s="20" t="n">
        <v>0</v>
      </c>
      <c r="Q14" s="18" t="n">
        <v>2.20766904</v>
      </c>
      <c r="R14" s="20" t="n">
        <v>0.978662</v>
      </c>
    </row>
    <row r="15" spans="1:18">
      <c r="A15" s="15" t="s">
        <v>357</v>
      </c>
      <c r="B15" s="17" t="n">
        <v>2863</v>
      </c>
      <c r="C15" s="18">
        <f>(2533.0/B15*100)</f>
        <v/>
      </c>
      <c r="D15" s="19" t="n">
        <v>330</v>
      </c>
      <c r="E15" s="18" t="n">
        <v>74.46541307</v>
      </c>
      <c r="F15" s="20" t="n">
        <v>2.44114255</v>
      </c>
      <c r="G15" s="18" t="n">
        <v>25.07489296</v>
      </c>
      <c r="H15" s="20" t="n">
        <v>2.50962199</v>
      </c>
      <c r="I15" s="18" t="s">
        <v>349</v>
      </c>
      <c r="J15" s="20" t="s">
        <v>349</v>
      </c>
      <c r="K15" s="18" t="n">
        <v>0</v>
      </c>
      <c r="L15" s="20" t="n">
        <v>0</v>
      </c>
      <c r="M15" s="18" t="n">
        <v>0</v>
      </c>
      <c r="N15" s="20" t="n">
        <v>0</v>
      </c>
      <c r="O15" s="18" t="n">
        <v>0</v>
      </c>
      <c r="P15" s="20" t="n">
        <v>0</v>
      </c>
      <c r="Q15" s="18" t="n">
        <v>0.45969397</v>
      </c>
      <c r="R15" s="20" t="n">
        <v>0.36096306</v>
      </c>
    </row>
    <row r="16" spans="1:18">
      <c r="A16" s="15" t="s">
        <v>358</v>
      </c>
      <c r="B16" s="17" t="n">
        <v>3111</v>
      </c>
      <c r="C16" s="18">
        <f>(2741.0/B16*100)</f>
        <v/>
      </c>
      <c r="D16" s="19" t="n">
        <v>370</v>
      </c>
      <c r="E16" s="18" t="n">
        <v>63.92041268</v>
      </c>
      <c r="F16" s="20" t="n">
        <v>2.61777557</v>
      </c>
      <c r="G16" s="18" t="n">
        <v>35.12618764</v>
      </c>
      <c r="H16" s="20" t="n">
        <v>2.57984795</v>
      </c>
      <c r="I16" s="18" t="s">
        <v>349</v>
      </c>
      <c r="J16" s="20" t="s">
        <v>349</v>
      </c>
      <c r="K16" s="18" t="n">
        <v>0</v>
      </c>
      <c r="L16" s="20" t="n">
        <v>0</v>
      </c>
      <c r="M16" s="18" t="n">
        <v>0</v>
      </c>
      <c r="N16" s="20" t="n">
        <v>0</v>
      </c>
      <c r="O16" s="18" t="n">
        <v>0</v>
      </c>
      <c r="P16" s="20" t="n">
        <v>0</v>
      </c>
      <c r="Q16" s="18" t="n">
        <v>0.95339968</v>
      </c>
      <c r="R16" s="20" t="n">
        <v>0.48829022</v>
      </c>
    </row>
    <row r="17" spans="1:18">
      <c r="A17" s="15" t="s">
        <v>359</v>
      </c>
      <c r="B17" s="17" t="n">
        <v>3197</v>
      </c>
      <c r="C17" s="18">
        <f>(2835.0/B17*100)</f>
        <v/>
      </c>
      <c r="D17" s="19" t="n">
        <v>362</v>
      </c>
      <c r="E17" s="18" t="n">
        <v>68.55487936</v>
      </c>
      <c r="F17" s="20" t="n">
        <v>2.60850005</v>
      </c>
      <c r="G17" s="18" t="n">
        <v>30.33837129</v>
      </c>
      <c r="H17" s="20" t="n">
        <v>2.48496467</v>
      </c>
      <c r="I17" s="18" t="s">
        <v>349</v>
      </c>
      <c r="J17" s="20" t="s">
        <v>349</v>
      </c>
      <c r="K17" s="18" t="n">
        <v>0</v>
      </c>
      <c r="L17" s="20" t="n">
        <v>0</v>
      </c>
      <c r="M17" s="18" t="n">
        <v>0</v>
      </c>
      <c r="N17" s="20" t="n">
        <v>0</v>
      </c>
      <c r="O17" s="18" t="n">
        <v>0</v>
      </c>
      <c r="P17" s="20" t="n">
        <v>0</v>
      </c>
      <c r="Q17" s="18" t="n">
        <v>1.10674935</v>
      </c>
      <c r="R17" s="20" t="n">
        <v>0.57219636</v>
      </c>
    </row>
    <row r="18" spans="1:18">
      <c r="A18" s="15" t="s">
        <v>360</v>
      </c>
      <c r="B18" s="17" t="n">
        <v>2706</v>
      </c>
      <c r="C18" s="18">
        <f>(2377.0/B18*100)</f>
        <v/>
      </c>
      <c r="D18" s="19" t="n">
        <v>329</v>
      </c>
      <c r="E18" s="18" t="n">
        <v>74.74307586</v>
      </c>
      <c r="F18" s="20" t="n">
        <v>2.2252175</v>
      </c>
      <c r="G18" s="18" t="n">
        <v>24.6798463</v>
      </c>
      <c r="H18" s="20" t="n">
        <v>2.18504033</v>
      </c>
      <c r="I18" s="18" t="s">
        <v>349</v>
      </c>
      <c r="J18" s="20" t="s">
        <v>349</v>
      </c>
      <c r="K18" s="18" t="n">
        <v>0</v>
      </c>
      <c r="L18" s="20" t="n">
        <v>0</v>
      </c>
      <c r="M18" s="18" t="n">
        <v>0</v>
      </c>
      <c r="N18" s="20" t="n">
        <v>0</v>
      </c>
      <c r="O18" s="18" t="n">
        <v>0</v>
      </c>
      <c r="P18" s="20" t="n">
        <v>0</v>
      </c>
      <c r="Q18" s="18" t="n">
        <v>0.57707783</v>
      </c>
      <c r="R18" s="20" t="n">
        <v>0.40660373</v>
      </c>
    </row>
    <row r="19" spans="1:18">
      <c r="A19" s="15" t="s">
        <v>361</v>
      </c>
      <c r="B19" s="17" t="n">
        <v>2850</v>
      </c>
      <c r="C19" s="18">
        <f>(2503.0/B19*100)</f>
        <v/>
      </c>
      <c r="D19" s="19" t="n">
        <v>347</v>
      </c>
      <c r="E19" s="18" t="n">
        <v>67.70432835</v>
      </c>
      <c r="F19" s="20" t="n">
        <v>2.57025572</v>
      </c>
      <c r="G19" s="18" t="n">
        <v>30.56825245</v>
      </c>
      <c r="H19" s="20" t="n">
        <v>2.54364704</v>
      </c>
      <c r="I19" s="18" t="s">
        <v>349</v>
      </c>
      <c r="J19" s="20" t="s">
        <v>349</v>
      </c>
      <c r="K19" s="18" t="n">
        <v>0</v>
      </c>
      <c r="L19" s="20" t="n">
        <v>0</v>
      </c>
      <c r="M19" s="18" t="n">
        <v>0</v>
      </c>
      <c r="N19" s="20" t="n">
        <v>0</v>
      </c>
      <c r="O19" s="18" t="n">
        <v>0</v>
      </c>
      <c r="P19" s="20" t="n">
        <v>0</v>
      </c>
      <c r="Q19" s="18" t="n">
        <v>1.7274192</v>
      </c>
      <c r="R19" s="20" t="n">
        <v>0.76431244</v>
      </c>
    </row>
    <row r="20" spans="1:18">
      <c r="A20" s="15" t="s">
        <v>362</v>
      </c>
      <c r="B20" s="17" t="n">
        <v>1741</v>
      </c>
      <c r="C20" s="18">
        <f>(1527.0/B20*100)</f>
        <v/>
      </c>
      <c r="D20" s="19" t="n">
        <v>214</v>
      </c>
      <c r="E20" s="18" t="n">
        <v>64.39193215</v>
      </c>
      <c r="F20" s="20" t="n">
        <v>3.18126218</v>
      </c>
      <c r="G20" s="18" t="n">
        <v>34.14537001</v>
      </c>
      <c r="H20" s="20" t="n">
        <v>3.03254161</v>
      </c>
      <c r="I20" s="18" t="s">
        <v>349</v>
      </c>
      <c r="J20" s="20" t="s">
        <v>349</v>
      </c>
      <c r="K20" s="18" t="n">
        <v>0</v>
      </c>
      <c r="L20" s="20" t="n">
        <v>0</v>
      </c>
      <c r="M20" s="18" t="n">
        <v>0</v>
      </c>
      <c r="N20" s="20" t="n">
        <v>0</v>
      </c>
      <c r="O20" s="18" t="n">
        <v>0</v>
      </c>
      <c r="P20" s="20" t="n">
        <v>0</v>
      </c>
      <c r="Q20" s="18" t="n">
        <v>1.46269784</v>
      </c>
      <c r="R20" s="20" t="n">
        <v>0.8393596800000001</v>
      </c>
    </row>
    <row r="21" spans="1:18">
      <c r="A21" s="15" t="s">
        <v>363</v>
      </c>
      <c r="B21" s="17" t="n">
        <v>2833</v>
      </c>
      <c r="C21" s="18">
        <f>(2349.0/B21*100)</f>
        <v/>
      </c>
      <c r="D21" s="19" t="n">
        <v>484</v>
      </c>
      <c r="E21" s="18" t="n">
        <v>56.12776665</v>
      </c>
      <c r="F21" s="20" t="n">
        <v>2.50452909</v>
      </c>
      <c r="G21" s="18" t="n">
        <v>42.69513171</v>
      </c>
      <c r="H21" s="20" t="n">
        <v>2.39687216</v>
      </c>
      <c r="I21" s="18" t="s">
        <v>349</v>
      </c>
      <c r="J21" s="20" t="s">
        <v>349</v>
      </c>
      <c r="K21" s="18" t="n">
        <v>0</v>
      </c>
      <c r="L21" s="20" t="n">
        <v>0</v>
      </c>
      <c r="M21" s="18" t="n">
        <v>0</v>
      </c>
      <c r="N21" s="20" t="n">
        <v>0</v>
      </c>
      <c r="O21" s="18" t="n">
        <v>0</v>
      </c>
      <c r="P21" s="20" t="n">
        <v>0</v>
      </c>
      <c r="Q21" s="18" t="n">
        <v>1.17710164</v>
      </c>
      <c r="R21" s="20" t="n">
        <v>0.48053607</v>
      </c>
    </row>
    <row r="22" spans="1:18">
      <c r="A22" s="15" t="s">
        <v>364</v>
      </c>
      <c r="B22" s="17" t="n">
        <v>3667</v>
      </c>
      <c r="C22" s="18">
        <f>(3177.0/B22*100)</f>
        <v/>
      </c>
      <c r="D22" s="19" t="n">
        <v>490</v>
      </c>
      <c r="E22" s="18" t="n">
        <v>73.0082026</v>
      </c>
      <c r="F22" s="20" t="n">
        <v>1.90503092</v>
      </c>
      <c r="G22" s="18" t="n">
        <v>25.23384863</v>
      </c>
      <c r="H22" s="20" t="n">
        <v>2.01520503</v>
      </c>
      <c r="I22" s="18" t="s">
        <v>349</v>
      </c>
      <c r="J22" s="20" t="s">
        <v>349</v>
      </c>
      <c r="K22" s="18" t="n">
        <v>0.36808341</v>
      </c>
      <c r="L22" s="20" t="n">
        <v>0.26628431</v>
      </c>
      <c r="M22" s="18" t="n">
        <v>0</v>
      </c>
      <c r="N22" s="20" t="n">
        <v>0</v>
      </c>
      <c r="O22" s="18" t="n">
        <v>0</v>
      </c>
      <c r="P22" s="20" t="n">
        <v>0</v>
      </c>
      <c r="Q22" s="18" t="n">
        <v>1.38986537</v>
      </c>
      <c r="R22" s="20" t="n">
        <v>0.7130932</v>
      </c>
    </row>
    <row r="23" spans="1:18">
      <c r="A23" s="15" t="s">
        <v>365</v>
      </c>
      <c r="B23" s="17" t="n">
        <v>5792</v>
      </c>
      <c r="C23" s="18">
        <f>(5083.0/B23*100)</f>
        <v/>
      </c>
      <c r="D23" s="19" t="n">
        <v>709</v>
      </c>
      <c r="E23" s="18" t="n">
        <v>61.43258495</v>
      </c>
      <c r="F23" s="20" t="n">
        <v>2.45968825</v>
      </c>
      <c r="G23" s="18" t="n">
        <v>34.92389849</v>
      </c>
      <c r="H23" s="20" t="n">
        <v>2.52959549</v>
      </c>
      <c r="I23" s="18" t="s">
        <v>349</v>
      </c>
      <c r="J23" s="20" t="s">
        <v>349</v>
      </c>
      <c r="K23" s="18" t="n">
        <v>0.06375459999999999</v>
      </c>
      <c r="L23" s="20" t="n">
        <v>0.06860885999999999</v>
      </c>
      <c r="M23" s="18" t="n">
        <v>0</v>
      </c>
      <c r="N23" s="20" t="n">
        <v>0</v>
      </c>
      <c r="O23" s="18" t="n">
        <v>0</v>
      </c>
      <c r="P23" s="20" t="n">
        <v>0</v>
      </c>
      <c r="Q23" s="18" t="n">
        <v>3.57976196</v>
      </c>
      <c r="R23" s="20" t="n">
        <v>1.14806187</v>
      </c>
    </row>
    <row r="24" spans="1:18">
      <c r="A24" s="15" t="s">
        <v>366</v>
      </c>
      <c r="B24" s="17" t="n">
        <v>3309</v>
      </c>
      <c r="C24" s="18">
        <f>(2907.0/B24*100)</f>
        <v/>
      </c>
      <c r="D24" s="19" t="n">
        <v>402</v>
      </c>
      <c r="E24" s="18" t="n">
        <v>53.26850856</v>
      </c>
      <c r="F24" s="20" t="n">
        <v>2.85850386</v>
      </c>
      <c r="G24" s="18" t="n">
        <v>46.10472008</v>
      </c>
      <c r="H24" s="20" t="n">
        <v>2.89780778</v>
      </c>
      <c r="I24" s="18" t="s">
        <v>349</v>
      </c>
      <c r="J24" s="20" t="s">
        <v>349</v>
      </c>
      <c r="K24" s="18" t="n">
        <v>0</v>
      </c>
      <c r="L24" s="20" t="n">
        <v>0</v>
      </c>
      <c r="M24" s="18" t="n">
        <v>0</v>
      </c>
      <c r="N24" s="20" t="n">
        <v>0</v>
      </c>
      <c r="O24" s="18" t="n">
        <v>0</v>
      </c>
      <c r="P24" s="20" t="n">
        <v>0</v>
      </c>
      <c r="Q24" s="18" t="n">
        <v>0.62677136</v>
      </c>
      <c r="R24" s="20" t="n">
        <v>0.34087871</v>
      </c>
    </row>
    <row r="25" spans="1:18">
      <c r="A25" s="15" t="s">
        <v>367</v>
      </c>
      <c r="B25" s="17" t="n">
        <v>2669</v>
      </c>
      <c r="C25" s="18">
        <f>(2338.0/B25*100)</f>
        <v/>
      </c>
      <c r="D25" s="19" t="n">
        <v>331</v>
      </c>
      <c r="E25" s="18" t="n">
        <v>49.41936054</v>
      </c>
      <c r="F25" s="20" t="n">
        <v>2.43229311</v>
      </c>
      <c r="G25" s="18" t="n">
        <v>49.78583498</v>
      </c>
      <c r="H25" s="20" t="n">
        <v>2.48800024</v>
      </c>
      <c r="I25" s="18" t="s">
        <v>349</v>
      </c>
      <c r="J25" s="20" t="s">
        <v>349</v>
      </c>
      <c r="K25" s="18" t="n">
        <v>0.27478707</v>
      </c>
      <c r="L25" s="20" t="n">
        <v>0.38770941</v>
      </c>
      <c r="M25" s="18" t="n">
        <v>0</v>
      </c>
      <c r="N25" s="20" t="n">
        <v>0</v>
      </c>
      <c r="O25" s="18" t="n">
        <v>0</v>
      </c>
      <c r="P25" s="20" t="n">
        <v>0</v>
      </c>
      <c r="Q25" s="18" t="n">
        <v>0.52001742</v>
      </c>
      <c r="R25" s="20" t="n">
        <v>0.33295569</v>
      </c>
    </row>
    <row r="26" spans="1:18">
      <c r="A26" s="15" t="s">
        <v>368</v>
      </c>
      <c r="B26" s="17" t="n">
        <v>2419</v>
      </c>
      <c r="C26" s="18">
        <f>(2125.0/B26*100)</f>
        <v/>
      </c>
      <c r="D26" s="19" t="n">
        <v>294</v>
      </c>
      <c r="E26" s="18" t="n">
        <v>71.68982905999999</v>
      </c>
      <c r="F26" s="20" t="n">
        <v>2.59975871</v>
      </c>
      <c r="G26" s="18" t="n">
        <v>26.79924659</v>
      </c>
      <c r="H26" s="20" t="n">
        <v>2.62871762</v>
      </c>
      <c r="I26" s="18" t="s">
        <v>349</v>
      </c>
      <c r="J26" s="20" t="s">
        <v>349</v>
      </c>
      <c r="K26" s="18" t="n">
        <v>0</v>
      </c>
      <c r="L26" s="20" t="n">
        <v>0</v>
      </c>
      <c r="M26" s="18" t="n">
        <v>0</v>
      </c>
      <c r="N26" s="20" t="n">
        <v>0</v>
      </c>
      <c r="O26" s="18" t="n">
        <v>0</v>
      </c>
      <c r="P26" s="20" t="n">
        <v>0</v>
      </c>
      <c r="Q26" s="18" t="n">
        <v>1.51092435</v>
      </c>
      <c r="R26" s="20" t="n">
        <v>0.80529412</v>
      </c>
    </row>
    <row r="27" spans="1:18">
      <c r="A27" s="15" t="s">
        <v>369</v>
      </c>
      <c r="B27" s="17" t="n">
        <v>2683</v>
      </c>
      <c r="C27" s="18">
        <f>(2357.0/B27*100)</f>
        <v/>
      </c>
      <c r="D27" s="19" t="n">
        <v>326</v>
      </c>
      <c r="E27" s="18" t="n">
        <v>73.59749792</v>
      </c>
      <c r="F27" s="20" t="n">
        <v>2.28821749</v>
      </c>
      <c r="G27" s="18" t="n">
        <v>25.15914616</v>
      </c>
      <c r="H27" s="20" t="n">
        <v>2.20348112</v>
      </c>
      <c r="I27" s="18" t="s">
        <v>349</v>
      </c>
      <c r="J27" s="20" t="s">
        <v>349</v>
      </c>
      <c r="K27" s="18" t="n">
        <v>0</v>
      </c>
      <c r="L27" s="20" t="n">
        <v>0</v>
      </c>
      <c r="M27" s="18" t="n">
        <v>0</v>
      </c>
      <c r="N27" s="20" t="n">
        <v>0</v>
      </c>
      <c r="O27" s="18" t="n">
        <v>0</v>
      </c>
      <c r="P27" s="20" t="n">
        <v>0</v>
      </c>
      <c r="Q27" s="18" t="n">
        <v>1.24335592</v>
      </c>
      <c r="R27" s="20" t="n">
        <v>0.6135209700000001</v>
      </c>
    </row>
    <row r="28" spans="1:18">
      <c r="A28" s="15" t="s">
        <v>370</v>
      </c>
      <c r="B28" s="17" t="n">
        <v>3803</v>
      </c>
      <c r="C28" s="18">
        <f>(3348.0/B28*100)</f>
        <v/>
      </c>
      <c r="D28" s="19" t="n">
        <v>455</v>
      </c>
      <c r="E28" s="18" t="n">
        <v>70.95550695</v>
      </c>
      <c r="F28" s="20" t="n">
        <v>2.40554849</v>
      </c>
      <c r="G28" s="18" t="n">
        <v>27.71675519</v>
      </c>
      <c r="H28" s="20" t="n">
        <v>2.3390444</v>
      </c>
      <c r="I28" s="18" t="s">
        <v>349</v>
      </c>
      <c r="J28" s="20" t="s">
        <v>349</v>
      </c>
      <c r="K28" s="18" t="n">
        <v>0</v>
      </c>
      <c r="L28" s="20" t="n">
        <v>0</v>
      </c>
      <c r="M28" s="18" t="n">
        <v>0</v>
      </c>
      <c r="N28" s="20" t="n">
        <v>0</v>
      </c>
      <c r="O28" s="18" t="n">
        <v>0</v>
      </c>
      <c r="P28" s="20" t="n">
        <v>0</v>
      </c>
      <c r="Q28" s="18" t="n">
        <v>1.32773786</v>
      </c>
      <c r="R28" s="20" t="n">
        <v>0.53056226</v>
      </c>
    </row>
    <row r="29" spans="1:18">
      <c r="A29" s="15" t="s">
        <v>371</v>
      </c>
      <c r="B29" s="17" t="n">
        <v>2700</v>
      </c>
      <c r="C29" s="18">
        <f>(2327.0/B29*100)</f>
        <v/>
      </c>
      <c r="D29" s="19" t="n">
        <v>373</v>
      </c>
      <c r="E29" s="18" t="n">
        <v>68.6247039</v>
      </c>
      <c r="F29" s="20" t="n">
        <v>2.26128859</v>
      </c>
      <c r="G29" s="18" t="n">
        <v>29.51856737</v>
      </c>
      <c r="H29" s="20" t="n">
        <v>2.18741645</v>
      </c>
      <c r="I29" s="18" t="s">
        <v>349</v>
      </c>
      <c r="J29" s="20" t="s">
        <v>349</v>
      </c>
      <c r="K29" s="18" t="n">
        <v>0.87823892</v>
      </c>
      <c r="L29" s="20" t="n">
        <v>0.44433897</v>
      </c>
      <c r="M29" s="18" t="n">
        <v>0</v>
      </c>
      <c r="N29" s="20" t="n">
        <v>0</v>
      </c>
      <c r="O29" s="18" t="n">
        <v>0</v>
      </c>
      <c r="P29" s="20" t="n">
        <v>0</v>
      </c>
      <c r="Q29" s="18" t="n">
        <v>0.97848981</v>
      </c>
      <c r="R29" s="20" t="n">
        <v>0.6996641300000001</v>
      </c>
    </row>
    <row r="30" spans="1:18">
      <c r="A30" s="15" t="s">
        <v>372</v>
      </c>
      <c r="B30" s="17" t="n">
        <v>2257</v>
      </c>
      <c r="C30" s="18">
        <f>(1975.0/B30*100)</f>
        <v/>
      </c>
      <c r="D30" s="19" t="n">
        <v>282</v>
      </c>
      <c r="E30" s="18" t="n">
        <v>55.17856972</v>
      </c>
      <c r="F30" s="20" t="n">
        <v>2.67728684</v>
      </c>
      <c r="G30" s="18" t="n">
        <v>43.30576488</v>
      </c>
      <c r="H30" s="20" t="n">
        <v>2.56043724</v>
      </c>
      <c r="I30" s="18" t="s">
        <v>349</v>
      </c>
      <c r="J30" s="20" t="s">
        <v>349</v>
      </c>
      <c r="K30" s="18" t="n">
        <v>0</v>
      </c>
      <c r="L30" s="20" t="n">
        <v>0</v>
      </c>
      <c r="M30" s="18" t="n">
        <v>0</v>
      </c>
      <c r="N30" s="20" t="n">
        <v>0</v>
      </c>
      <c r="O30" s="18" t="n">
        <v>0</v>
      </c>
      <c r="P30" s="20" t="n">
        <v>0</v>
      </c>
      <c r="Q30" s="18" t="n">
        <v>1.51566539</v>
      </c>
      <c r="R30" s="20" t="n">
        <v>0.77581399</v>
      </c>
    </row>
    <row r="31" spans="1:18">
      <c r="A31" s="15" t="s">
        <v>373</v>
      </c>
      <c r="B31" s="17" t="n">
        <v>2706</v>
      </c>
      <c r="C31" s="18">
        <f>(2387.0/B31*100)</f>
        <v/>
      </c>
      <c r="D31" s="19" t="n">
        <v>319</v>
      </c>
      <c r="E31" s="18" t="n">
        <v>60.74485496</v>
      </c>
      <c r="F31" s="20" t="n">
        <v>2.75620377</v>
      </c>
      <c r="G31" s="18" t="n">
        <v>36.98751547</v>
      </c>
      <c r="H31" s="20" t="n">
        <v>2.76806578</v>
      </c>
      <c r="I31" s="18" t="s">
        <v>349</v>
      </c>
      <c r="J31" s="20" t="s">
        <v>349</v>
      </c>
      <c r="K31" s="18" t="n">
        <v>0.7417015</v>
      </c>
      <c r="L31" s="20" t="n">
        <v>0.59022</v>
      </c>
      <c r="M31" s="18" t="n">
        <v>0</v>
      </c>
      <c r="N31" s="20" t="n">
        <v>0</v>
      </c>
      <c r="O31" s="18" t="n">
        <v>0</v>
      </c>
      <c r="P31" s="20" t="n">
        <v>0</v>
      </c>
      <c r="Q31" s="18" t="n">
        <v>1.52592807</v>
      </c>
      <c r="R31" s="20" t="n">
        <v>0.68215238</v>
      </c>
    </row>
    <row r="32" spans="1:18">
      <c r="A32" s="15" t="s">
        <v>374</v>
      </c>
      <c r="B32" s="17" t="n">
        <v>2209</v>
      </c>
      <c r="C32" s="18">
        <f>(1849.0/B32*100)</f>
        <v/>
      </c>
      <c r="D32" s="19" t="n">
        <v>360</v>
      </c>
      <c r="E32" s="18" t="n">
        <v>49.14231096</v>
      </c>
      <c r="F32" s="20" t="n">
        <v>2.89573512</v>
      </c>
      <c r="G32" s="18" t="n">
        <v>49.26494949</v>
      </c>
      <c r="H32" s="20" t="n">
        <v>2.87892861</v>
      </c>
      <c r="I32" s="18" t="s">
        <v>349</v>
      </c>
      <c r="J32" s="20" t="s">
        <v>349</v>
      </c>
      <c r="K32" s="18" t="n">
        <v>0.27831739</v>
      </c>
      <c r="L32" s="20" t="n">
        <v>0.2780752</v>
      </c>
      <c r="M32" s="18" t="n">
        <v>0</v>
      </c>
      <c r="N32" s="20" t="n">
        <v>0</v>
      </c>
      <c r="O32" s="18" t="n">
        <v>0</v>
      </c>
      <c r="P32" s="20" t="n">
        <v>0</v>
      </c>
      <c r="Q32" s="18" t="n">
        <v>1.31442216</v>
      </c>
      <c r="R32" s="20" t="n">
        <v>0.65808299</v>
      </c>
    </row>
    <row r="33" spans="1:18">
      <c r="A33" s="15" t="s">
        <v>375</v>
      </c>
      <c r="B33" s="17" t="n">
        <v>3651</v>
      </c>
      <c r="C33" s="18">
        <f>(3210.0/B33*100)</f>
        <v/>
      </c>
      <c r="D33" s="19" t="n">
        <v>441</v>
      </c>
      <c r="E33" s="18" t="n">
        <v>48.94240605</v>
      </c>
      <c r="F33" s="20" t="n">
        <v>2.83031078</v>
      </c>
      <c r="G33" s="18" t="n">
        <v>50.06610962</v>
      </c>
      <c r="H33" s="20" t="n">
        <v>2.82103168</v>
      </c>
      <c r="I33" s="18" t="s">
        <v>349</v>
      </c>
      <c r="J33" s="20" t="s">
        <v>349</v>
      </c>
      <c r="K33" s="18" t="n">
        <v>0</v>
      </c>
      <c r="L33" s="20" t="n">
        <v>0</v>
      </c>
      <c r="M33" s="18" t="n">
        <v>0</v>
      </c>
      <c r="N33" s="20" t="n">
        <v>0</v>
      </c>
      <c r="O33" s="18" t="n">
        <v>0</v>
      </c>
      <c r="P33" s="20" t="n">
        <v>0</v>
      </c>
      <c r="Q33" s="18" t="n">
        <v>0.99148432</v>
      </c>
      <c r="R33" s="20" t="n">
        <v>0.51005377</v>
      </c>
    </row>
    <row r="34" spans="1:18">
      <c r="A34" s="15" t="s">
        <v>376</v>
      </c>
      <c r="B34" s="17" t="n">
        <v>3035</v>
      </c>
      <c r="C34" s="18">
        <f>(2650.0/B34*100)</f>
        <v/>
      </c>
      <c r="D34" s="19" t="n">
        <v>385</v>
      </c>
      <c r="E34" s="18" t="n">
        <v>65.41126945000001</v>
      </c>
      <c r="F34" s="20" t="n">
        <v>2.56834212</v>
      </c>
      <c r="G34" s="18" t="n">
        <v>31.78163907</v>
      </c>
      <c r="H34" s="20" t="n">
        <v>2.59523474</v>
      </c>
      <c r="I34" s="18" t="s">
        <v>349</v>
      </c>
      <c r="J34" s="20" t="s">
        <v>349</v>
      </c>
      <c r="K34" s="18" t="n">
        <v>0</v>
      </c>
      <c r="L34" s="20" t="n">
        <v>0</v>
      </c>
      <c r="M34" s="18" t="n">
        <v>0</v>
      </c>
      <c r="N34" s="20" t="n">
        <v>0</v>
      </c>
      <c r="O34" s="18" t="n">
        <v>0</v>
      </c>
      <c r="P34" s="20" t="n">
        <v>0</v>
      </c>
      <c r="Q34" s="18" t="n">
        <v>2.80709148</v>
      </c>
      <c r="R34" s="20" t="n">
        <v>0.9037854400000001</v>
      </c>
    </row>
    <row r="35" spans="1:18">
      <c r="A35" s="15" t="s">
        <v>377</v>
      </c>
      <c r="B35" s="17" t="n">
        <v>2901</v>
      </c>
      <c r="C35" s="18">
        <f>(2551.0/B35*100)</f>
        <v/>
      </c>
      <c r="D35" s="19" t="n">
        <v>350</v>
      </c>
      <c r="E35" s="18" t="n">
        <v>43.87175939</v>
      </c>
      <c r="F35" s="20" t="n">
        <v>3.43932417</v>
      </c>
      <c r="G35" s="18" t="n">
        <v>54.95101654</v>
      </c>
      <c r="H35" s="20" t="n">
        <v>3.49664406</v>
      </c>
      <c r="I35" s="18" t="s">
        <v>349</v>
      </c>
      <c r="J35" s="20" t="s">
        <v>349</v>
      </c>
      <c r="K35" s="18" t="n">
        <v>0</v>
      </c>
      <c r="L35" s="20" t="n">
        <v>0</v>
      </c>
      <c r="M35" s="18" t="n">
        <v>0</v>
      </c>
      <c r="N35" s="20" t="n">
        <v>0</v>
      </c>
      <c r="O35" s="18" t="n">
        <v>0</v>
      </c>
      <c r="P35" s="20" t="n">
        <v>0</v>
      </c>
      <c r="Q35" s="18" t="n">
        <v>1.17722407</v>
      </c>
      <c r="R35" s="20" t="n">
        <v>0.6625042799999999</v>
      </c>
    </row>
    <row r="36" spans="1:18">
      <c r="A36" s="15" t="s">
        <v>378</v>
      </c>
      <c r="B36" s="17" t="n">
        <v>3404</v>
      </c>
      <c r="C36" s="18">
        <f>(2974.0/B36*100)</f>
        <v/>
      </c>
      <c r="D36" s="19" t="n">
        <v>430</v>
      </c>
      <c r="E36" s="18" t="n">
        <v>62.07705863</v>
      </c>
      <c r="F36" s="20" t="n">
        <v>2.31591889</v>
      </c>
      <c r="G36" s="18" t="n">
        <v>36.02652642</v>
      </c>
      <c r="H36" s="20" t="n">
        <v>2.41291722</v>
      </c>
      <c r="I36" s="18" t="s">
        <v>349</v>
      </c>
      <c r="J36" s="20" t="s">
        <v>349</v>
      </c>
      <c r="K36" s="18" t="n">
        <v>0.13822218</v>
      </c>
      <c r="L36" s="20" t="n">
        <v>0.12806361</v>
      </c>
      <c r="M36" s="18" t="n">
        <v>0</v>
      </c>
      <c r="N36" s="20" t="n">
        <v>0</v>
      </c>
      <c r="O36" s="18" t="n">
        <v>0</v>
      </c>
      <c r="P36" s="20" t="n">
        <v>0</v>
      </c>
      <c r="Q36" s="18" t="n">
        <v>1.75819277</v>
      </c>
      <c r="R36" s="20" t="n">
        <v>0.78858763</v>
      </c>
    </row>
    <row r="37" spans="1:18">
      <c r="A37" s="15" t="s">
        <v>379</v>
      </c>
      <c r="B37" s="17" t="n">
        <v>2731</v>
      </c>
      <c r="C37" s="18">
        <f>(2404.0/B37*100)</f>
        <v/>
      </c>
      <c r="D37" s="19" t="n">
        <v>327</v>
      </c>
      <c r="E37" s="18" t="n">
        <v>73.64864138</v>
      </c>
      <c r="F37" s="20" t="n">
        <v>2.51253345</v>
      </c>
      <c r="G37" s="18" t="n">
        <v>22.65347554</v>
      </c>
      <c r="H37" s="20" t="n">
        <v>2.46260814</v>
      </c>
      <c r="I37" s="18" t="s">
        <v>349</v>
      </c>
      <c r="J37" s="20" t="s">
        <v>349</v>
      </c>
      <c r="K37" s="18" t="n">
        <v>0.35868407</v>
      </c>
      <c r="L37" s="20" t="n">
        <v>0.34480961</v>
      </c>
      <c r="M37" s="18" t="n">
        <v>0</v>
      </c>
      <c r="N37" s="20" t="n">
        <v>0</v>
      </c>
      <c r="O37" s="18" t="n">
        <v>0</v>
      </c>
      <c r="P37" s="20" t="n">
        <v>0</v>
      </c>
      <c r="Q37" s="18" t="n">
        <v>3.33919901</v>
      </c>
      <c r="R37" s="20" t="n">
        <v>0.96196948</v>
      </c>
    </row>
    <row r="38" spans="1:18">
      <c r="A38" s="15" t="s">
        <v>380</v>
      </c>
      <c r="B38" s="17" t="n">
        <v>2807</v>
      </c>
      <c r="C38" s="18">
        <f>(2330.0/B38*100)</f>
        <v/>
      </c>
      <c r="D38" s="19" t="n">
        <v>477</v>
      </c>
      <c r="E38" s="18" t="n">
        <v>65.10187292000001</v>
      </c>
      <c r="F38" s="20" t="n">
        <v>2.40892988</v>
      </c>
      <c r="G38" s="18" t="n">
        <v>32.99201183</v>
      </c>
      <c r="H38" s="20" t="n">
        <v>2.38974776</v>
      </c>
      <c r="I38" s="18" t="s">
        <v>349</v>
      </c>
      <c r="J38" s="20" t="s">
        <v>349</v>
      </c>
      <c r="K38" s="18" t="n">
        <v>0</v>
      </c>
      <c r="L38" s="20" t="n">
        <v>0</v>
      </c>
      <c r="M38" s="18" t="n">
        <v>0</v>
      </c>
      <c r="N38" s="20" t="n">
        <v>0</v>
      </c>
      <c r="O38" s="18" t="n">
        <v>0</v>
      </c>
      <c r="P38" s="20" t="n">
        <v>0</v>
      </c>
      <c r="Q38" s="18" t="n">
        <v>1.90611525</v>
      </c>
      <c r="R38" s="20" t="n">
        <v>0.63341026</v>
      </c>
    </row>
    <row r="39" spans="1:18">
      <c r="A39" s="15" t="s">
        <v>381</v>
      </c>
      <c r="B39" s="17" t="n">
        <v>2938</v>
      </c>
      <c r="C39" s="18">
        <f>(2568.0/B39*100)</f>
        <v/>
      </c>
      <c r="D39" s="19" t="n">
        <v>370</v>
      </c>
      <c r="E39" s="18" t="n">
        <v>80.60178963</v>
      </c>
      <c r="F39" s="20" t="n">
        <v>2.06125394</v>
      </c>
      <c r="G39" s="18" t="n">
        <v>17.68727649</v>
      </c>
      <c r="H39" s="20" t="n">
        <v>1.9147141</v>
      </c>
      <c r="I39" s="18" t="s">
        <v>349</v>
      </c>
      <c r="J39" s="20" t="s">
        <v>349</v>
      </c>
      <c r="K39" s="18" t="n">
        <v>0</v>
      </c>
      <c r="L39" s="20" t="n">
        <v>0</v>
      </c>
      <c r="M39" s="18" t="n">
        <v>0</v>
      </c>
      <c r="N39" s="20" t="n">
        <v>0</v>
      </c>
      <c r="O39" s="18" t="n">
        <v>0</v>
      </c>
      <c r="P39" s="20" t="n">
        <v>0</v>
      </c>
      <c r="Q39" s="18" t="n">
        <v>1.71093388</v>
      </c>
      <c r="R39" s="20" t="n">
        <v>0.66917514</v>
      </c>
    </row>
    <row r="40" spans="1:18">
      <c r="A40" s="15" t="s">
        <v>382</v>
      </c>
      <c r="B40" s="17" t="n">
        <v>6922</v>
      </c>
      <c r="C40" s="18">
        <f>(6056.0/B40*100)</f>
        <v/>
      </c>
      <c r="D40" s="19" t="n">
        <v>866</v>
      </c>
      <c r="E40" s="18" t="n">
        <v>53.71749707</v>
      </c>
      <c r="F40" s="20" t="n">
        <v>2.6798156</v>
      </c>
      <c r="G40" s="18" t="n">
        <v>44.05146087</v>
      </c>
      <c r="H40" s="20" t="n">
        <v>2.61932806</v>
      </c>
      <c r="I40" s="18" t="s">
        <v>349</v>
      </c>
      <c r="J40" s="20" t="s">
        <v>349</v>
      </c>
      <c r="K40" s="18" t="n">
        <v>0.01308878</v>
      </c>
      <c r="L40" s="20" t="n">
        <v>0.01316609</v>
      </c>
      <c r="M40" s="18" t="n">
        <v>0</v>
      </c>
      <c r="N40" s="20" t="n">
        <v>0</v>
      </c>
      <c r="O40" s="18" t="n">
        <v>0</v>
      </c>
      <c r="P40" s="20" t="n">
        <v>0</v>
      </c>
      <c r="Q40" s="18" t="n">
        <v>2.21795328</v>
      </c>
      <c r="R40" s="20" t="n">
        <v>0.77909439</v>
      </c>
    </row>
    <row r="41" spans="1:18">
      <c r="A41" s="15" t="s">
        <v>383</v>
      </c>
      <c r="B41" s="17" t="n">
        <v>2854</v>
      </c>
      <c r="C41" s="18">
        <f>(2500.0/B41*100)</f>
        <v/>
      </c>
      <c r="D41" s="19" t="n">
        <v>354</v>
      </c>
      <c r="E41" s="18" t="n">
        <v>59.03795336</v>
      </c>
      <c r="F41" s="20" t="n">
        <v>2.67594424</v>
      </c>
      <c r="G41" s="18" t="n">
        <v>40.20087734</v>
      </c>
      <c r="H41" s="20" t="n">
        <v>2.81053887</v>
      </c>
      <c r="I41" s="18" t="s">
        <v>349</v>
      </c>
      <c r="J41" s="20" t="s">
        <v>349</v>
      </c>
      <c r="K41" s="18" t="n">
        <v>0</v>
      </c>
      <c r="L41" s="20" t="n">
        <v>0</v>
      </c>
      <c r="M41" s="18" t="n">
        <v>0</v>
      </c>
      <c r="N41" s="20" t="n">
        <v>0</v>
      </c>
      <c r="O41" s="18" t="n">
        <v>0</v>
      </c>
      <c r="P41" s="20" t="n">
        <v>0</v>
      </c>
      <c r="Q41" s="18" t="n">
        <v>0.76116931</v>
      </c>
      <c r="R41" s="20" t="n">
        <v>0.49702087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(10655.0/B46*100)</f>
        <v/>
      </c>
      <c r="D46" s="19" t="n">
        <v>1418</v>
      </c>
      <c r="E46" s="18" t="n">
        <v>76.71378645</v>
      </c>
      <c r="F46" s="20" t="n">
        <v>1.62913608</v>
      </c>
      <c r="G46" s="18" t="n">
        <v>20.07466465</v>
      </c>
      <c r="H46" s="20" t="n">
        <v>1.58275641</v>
      </c>
      <c r="I46" s="18" t="s">
        <v>349</v>
      </c>
      <c r="J46" s="20" t="s">
        <v>349</v>
      </c>
      <c r="K46" s="18" t="n">
        <v>0.25124796</v>
      </c>
      <c r="L46" s="20" t="n">
        <v>0.19087969</v>
      </c>
      <c r="M46" s="18" t="n">
        <v>0</v>
      </c>
      <c r="N46" s="20" t="n">
        <v>0</v>
      </c>
      <c r="O46" s="18" t="n">
        <v>0</v>
      </c>
      <c r="P46" s="20" t="n">
        <v>0</v>
      </c>
      <c r="Q46" s="18" t="n">
        <v>2.96030093</v>
      </c>
      <c r="R46" s="20" t="n">
        <v>0.59684494</v>
      </c>
    </row>
    <row r="47" spans="1:18">
      <c r="A47" s="15" t="s">
        <v>389</v>
      </c>
      <c r="B47" s="17" t="n">
        <v>2823</v>
      </c>
      <c r="C47" s="18">
        <f>(2475.0/B47*100)</f>
        <v/>
      </c>
      <c r="D47" s="19" t="n">
        <v>348</v>
      </c>
      <c r="E47" s="18" t="n">
        <v>76.37033326</v>
      </c>
      <c r="F47" s="20" t="n">
        <v>2.0843677</v>
      </c>
      <c r="G47" s="18" t="n">
        <v>19.98400823</v>
      </c>
      <c r="H47" s="20" t="n">
        <v>2.0729691</v>
      </c>
      <c r="I47" s="18" t="s">
        <v>349</v>
      </c>
      <c r="J47" s="20" t="s">
        <v>349</v>
      </c>
      <c r="K47" s="18" t="n">
        <v>0</v>
      </c>
      <c r="L47" s="20" t="n">
        <v>0</v>
      </c>
      <c r="M47" s="18" t="n">
        <v>0</v>
      </c>
      <c r="N47" s="20" t="n">
        <v>0</v>
      </c>
      <c r="O47" s="18" t="n">
        <v>0</v>
      </c>
      <c r="P47" s="20" t="n">
        <v>0</v>
      </c>
      <c r="Q47" s="18" t="n">
        <v>3.64565851</v>
      </c>
      <c r="R47" s="20" t="n">
        <v>1.29720007</v>
      </c>
    </row>
    <row r="48" spans="1:18">
      <c r="A48" s="15" t="s">
        <v>390</v>
      </c>
      <c r="B48" s="17" t="n">
        <v>4682</v>
      </c>
      <c r="C48" s="18">
        <f>(4114.0/B48*100)</f>
        <v/>
      </c>
      <c r="D48" s="19" t="n">
        <v>568</v>
      </c>
      <c r="E48" s="18" t="n">
        <v>70.15309485</v>
      </c>
      <c r="F48" s="20" t="n">
        <v>2.63782517</v>
      </c>
      <c r="G48" s="18" t="n">
        <v>28.16969144</v>
      </c>
      <c r="H48" s="20" t="n">
        <v>2.53741448</v>
      </c>
      <c r="I48" s="18" t="s">
        <v>349</v>
      </c>
      <c r="J48" s="20" t="s">
        <v>349</v>
      </c>
      <c r="K48" s="18" t="n">
        <v>0</v>
      </c>
      <c r="L48" s="20" t="n">
        <v>0</v>
      </c>
      <c r="M48" s="18" t="n">
        <v>0</v>
      </c>
      <c r="N48" s="20" t="n">
        <v>0</v>
      </c>
      <c r="O48" s="18" t="n">
        <v>0</v>
      </c>
      <c r="P48" s="20" t="n">
        <v>0</v>
      </c>
      <c r="Q48" s="18" t="n">
        <v>1.67721371</v>
      </c>
      <c r="R48" s="20" t="n">
        <v>0.68173714</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(5435.0/B50*100)</f>
        <v/>
      </c>
      <c r="D50" s="19" t="n">
        <v>723</v>
      </c>
      <c r="E50" s="18" t="n">
        <v>78.38679976</v>
      </c>
      <c r="F50" s="20" t="n">
        <v>2.09020811</v>
      </c>
      <c r="G50" s="18" t="n">
        <v>19.30252492</v>
      </c>
      <c r="H50" s="20" t="n">
        <v>1.91992664</v>
      </c>
      <c r="I50" s="18" t="s">
        <v>349</v>
      </c>
      <c r="J50" s="20" t="s">
        <v>349</v>
      </c>
      <c r="K50" s="18" t="n">
        <v>0.51097562</v>
      </c>
      <c r="L50" s="20" t="n">
        <v>0.51195139</v>
      </c>
      <c r="M50" s="18" t="n">
        <v>0</v>
      </c>
      <c r="N50" s="20" t="n">
        <v>0</v>
      </c>
      <c r="O50" s="18" t="n">
        <v>0</v>
      </c>
      <c r="P50" s="20" t="n">
        <v>0</v>
      </c>
      <c r="Q50" s="18" t="n">
        <v>1.7996997</v>
      </c>
      <c r="R50" s="20" t="n">
        <v>0.63892876</v>
      </c>
    </row>
    <row r="51" spans="1:18">
      <c r="A51" s="15" t="s">
        <v>393</v>
      </c>
      <c r="B51" s="17" t="n">
        <v>3494</v>
      </c>
      <c r="C51" s="18">
        <f>(3130.0/B51*100)</f>
        <v/>
      </c>
      <c r="D51" s="19" t="n">
        <v>364</v>
      </c>
      <c r="E51" s="18" t="n">
        <v>77.99691638</v>
      </c>
      <c r="F51" s="20" t="n">
        <v>2.29961891</v>
      </c>
      <c r="G51" s="18" t="n">
        <v>20.10903752</v>
      </c>
      <c r="H51" s="20" t="n">
        <v>2.24893947</v>
      </c>
      <c r="I51" s="18" t="s">
        <v>349</v>
      </c>
      <c r="J51" s="20" t="s">
        <v>349</v>
      </c>
      <c r="K51" s="18" t="n">
        <v>0</v>
      </c>
      <c r="L51" s="20" t="n">
        <v>0</v>
      </c>
      <c r="M51" s="18" t="n">
        <v>0</v>
      </c>
      <c r="N51" s="20" t="n">
        <v>0</v>
      </c>
      <c r="O51" s="18" t="n">
        <v>0</v>
      </c>
      <c r="P51" s="20" t="n">
        <v>0</v>
      </c>
      <c r="Q51" s="18" t="n">
        <v>1.8940461</v>
      </c>
      <c r="R51" s="20" t="n">
        <v>0.75066506</v>
      </c>
    </row>
    <row r="52" spans="1:18">
      <c r="A52" s="15" t="s">
        <v>394</v>
      </c>
      <c r="B52" s="17" t="n">
        <v>3013</v>
      </c>
      <c r="C52" s="18">
        <f>(2645.0/B52*100)</f>
        <v/>
      </c>
      <c r="D52" s="19" t="n">
        <v>368</v>
      </c>
      <c r="E52" s="18" t="n">
        <v>68.64220543</v>
      </c>
      <c r="F52" s="20" t="n">
        <v>2.28395659</v>
      </c>
      <c r="G52" s="18" t="n">
        <v>28.75795539</v>
      </c>
      <c r="H52" s="20" t="n">
        <v>2.34329675</v>
      </c>
      <c r="I52" s="18" t="s">
        <v>349</v>
      </c>
      <c r="J52" s="20" t="s">
        <v>349</v>
      </c>
      <c r="K52" s="18" t="n">
        <v>0</v>
      </c>
      <c r="L52" s="20" t="n">
        <v>0</v>
      </c>
      <c r="M52" s="18" t="n">
        <v>0</v>
      </c>
      <c r="N52" s="20" t="n">
        <v>0</v>
      </c>
      <c r="O52" s="18" t="n">
        <v>0</v>
      </c>
      <c r="P52" s="20" t="n">
        <v>0</v>
      </c>
      <c r="Q52" s="18" t="n">
        <v>2.59983918</v>
      </c>
      <c r="R52" s="20" t="n">
        <v>0.9557300399999999</v>
      </c>
    </row>
    <row r="53" spans="1:18">
      <c r="A53" s="15" t="s">
        <v>395</v>
      </c>
      <c r="B53" s="17" t="n">
        <v>2760</v>
      </c>
      <c r="C53" s="18">
        <f>(2440.0/B53*100)</f>
        <v/>
      </c>
      <c r="D53" s="19" t="n">
        <v>320</v>
      </c>
      <c r="E53" s="18" t="n">
        <v>63.77026292</v>
      </c>
      <c r="F53" s="20" t="n">
        <v>2.9362492</v>
      </c>
      <c r="G53" s="18" t="n">
        <v>32.32069753</v>
      </c>
      <c r="H53" s="20" t="n">
        <v>2.93635024</v>
      </c>
      <c r="I53" s="18" t="s">
        <v>349</v>
      </c>
      <c r="J53" s="20" t="s">
        <v>349</v>
      </c>
      <c r="K53" s="18" t="n">
        <v>0.21861899</v>
      </c>
      <c r="L53" s="20" t="n">
        <v>0.21166024</v>
      </c>
      <c r="M53" s="18" t="n">
        <v>0</v>
      </c>
      <c r="N53" s="20" t="n">
        <v>0</v>
      </c>
      <c r="O53" s="18" t="n">
        <v>0</v>
      </c>
      <c r="P53" s="20" t="n">
        <v>0</v>
      </c>
      <c r="Q53" s="18" t="n">
        <v>3.69042056</v>
      </c>
      <c r="R53" s="20" t="n">
        <v>0.9839949099999999</v>
      </c>
    </row>
    <row r="54" spans="1:18">
      <c r="A54" s="15" t="s">
        <v>396</v>
      </c>
      <c r="B54" s="17" t="n">
        <v>2474</v>
      </c>
      <c r="C54" s="18">
        <f>(2054.0/B54*100)</f>
        <v/>
      </c>
      <c r="D54" s="19" t="n">
        <v>420</v>
      </c>
      <c r="E54" s="18" t="n">
        <v>84.17546996999999</v>
      </c>
      <c r="F54" s="20" t="n">
        <v>1.98538743</v>
      </c>
      <c r="G54" s="18" t="n">
        <v>6.56472493</v>
      </c>
      <c r="H54" s="20" t="n">
        <v>1.19896403</v>
      </c>
      <c r="I54" s="18" t="s">
        <v>349</v>
      </c>
      <c r="J54" s="20" t="s">
        <v>349</v>
      </c>
      <c r="K54" s="18" t="n">
        <v>1.45278299</v>
      </c>
      <c r="L54" s="20" t="n">
        <v>0.55946637</v>
      </c>
      <c r="M54" s="18" t="n">
        <v>0</v>
      </c>
      <c r="N54" s="20" t="n">
        <v>0</v>
      </c>
      <c r="O54" s="18" t="n">
        <v>0</v>
      </c>
      <c r="P54" s="20" t="n">
        <v>0</v>
      </c>
      <c r="Q54" s="18" t="n">
        <v>7.80702211</v>
      </c>
      <c r="R54" s="20" t="n">
        <v>1.54086068</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(2356.0/B56*100)</f>
        <v/>
      </c>
      <c r="D56" s="19" t="n">
        <v>319</v>
      </c>
      <c r="E56" s="18" t="n">
        <v>64.57859272</v>
      </c>
      <c r="F56" s="20" t="n">
        <v>2.49715758</v>
      </c>
      <c r="G56" s="18" t="n">
        <v>35.08376914</v>
      </c>
      <c r="H56" s="20" t="n">
        <v>2.53455685</v>
      </c>
      <c r="I56" s="18" t="s">
        <v>349</v>
      </c>
      <c r="J56" s="20" t="s">
        <v>349</v>
      </c>
      <c r="K56" s="18" t="n">
        <v>0</v>
      </c>
      <c r="L56" s="20" t="n">
        <v>0</v>
      </c>
      <c r="M56" s="18" t="n">
        <v>0</v>
      </c>
      <c r="N56" s="20" t="n">
        <v>0</v>
      </c>
      <c r="O56" s="18" t="n">
        <v>0</v>
      </c>
      <c r="P56" s="20" t="n">
        <v>0</v>
      </c>
      <c r="Q56" s="18" t="n">
        <v>0.33763814</v>
      </c>
      <c r="R56" s="20" t="n">
        <v>0.33663479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(2800.0/B61*100)</f>
        <v/>
      </c>
      <c r="D61" s="19" t="n">
        <v>401</v>
      </c>
      <c r="E61" s="18" t="n">
        <v>66.52995371</v>
      </c>
      <c r="F61" s="20" t="n">
        <v>2.37898545</v>
      </c>
      <c r="G61" s="18" t="n">
        <v>31.75876153</v>
      </c>
      <c r="H61" s="20" t="n">
        <v>2.44553648</v>
      </c>
      <c r="I61" s="18" t="s">
        <v>349</v>
      </c>
      <c r="J61" s="20" t="s">
        <v>349</v>
      </c>
      <c r="K61" s="18" t="n">
        <v>0</v>
      </c>
      <c r="L61" s="20" t="n">
        <v>0</v>
      </c>
      <c r="M61" s="18" t="n">
        <v>0</v>
      </c>
      <c r="N61" s="20" t="n">
        <v>0</v>
      </c>
      <c r="O61" s="18" t="n">
        <v>0</v>
      </c>
      <c r="P61" s="20" t="n">
        <v>0</v>
      </c>
      <c r="Q61" s="18" t="n">
        <v>1.71128476</v>
      </c>
      <c r="R61" s="20" t="n">
        <v>0.7540129</v>
      </c>
    </row>
    <row r="62" spans="1:18">
      <c r="A62" s="15" t="s">
        <v>404</v>
      </c>
      <c r="B62" s="17" t="n">
        <v>2230</v>
      </c>
      <c r="C62" s="18">
        <f>(1968.0/B62*100)</f>
        <v/>
      </c>
      <c r="D62" s="19" t="n">
        <v>262</v>
      </c>
      <c r="E62" s="18" t="n">
        <v>72.9722943</v>
      </c>
      <c r="F62" s="20" t="n">
        <v>2.55650052</v>
      </c>
      <c r="G62" s="18" t="n">
        <v>26.64850073</v>
      </c>
      <c r="H62" s="20" t="n">
        <v>2.54128389</v>
      </c>
      <c r="I62" s="18" t="s">
        <v>349</v>
      </c>
      <c r="J62" s="20" t="s">
        <v>349</v>
      </c>
      <c r="K62" s="18" t="n">
        <v>0</v>
      </c>
      <c r="L62" s="20" t="n">
        <v>0</v>
      </c>
      <c r="M62" s="18" t="n">
        <v>0</v>
      </c>
      <c r="N62" s="20" t="n">
        <v>0</v>
      </c>
      <c r="O62" s="18" t="n">
        <v>0</v>
      </c>
      <c r="P62" s="20" t="n">
        <v>0</v>
      </c>
      <c r="Q62" s="18" t="n">
        <v>0.37920498</v>
      </c>
      <c r="R62" s="20" t="n">
        <v>0.37765606</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(2429.0/B66*100)</f>
        <v/>
      </c>
      <c r="D66" s="19" t="n">
        <v>342</v>
      </c>
      <c r="E66" s="18" t="n">
        <v>71.54891554</v>
      </c>
      <c r="F66" s="20" t="n">
        <v>2.22615212</v>
      </c>
      <c r="G66" s="18" t="n">
        <v>22.63487034</v>
      </c>
      <c r="H66" s="20" t="n">
        <v>2.2429922</v>
      </c>
      <c r="I66" s="18" t="s">
        <v>349</v>
      </c>
      <c r="J66" s="20" t="s">
        <v>349</v>
      </c>
      <c r="K66" s="18" t="n">
        <v>0.24657968</v>
      </c>
      <c r="L66" s="20" t="n">
        <v>0.24653258</v>
      </c>
      <c r="M66" s="18" t="n">
        <v>0</v>
      </c>
      <c r="N66" s="20" t="n">
        <v>0</v>
      </c>
      <c r="O66" s="18" t="n">
        <v>0</v>
      </c>
      <c r="P66" s="20" t="n">
        <v>0</v>
      </c>
      <c r="Q66" s="18" t="n">
        <v>5.56963444</v>
      </c>
      <c r="R66" s="20" t="n">
        <v>1.28693393</v>
      </c>
    </row>
    <row r="67" spans="1:18">
      <c r="A67" s="15" t="s">
        <v>409</v>
      </c>
      <c r="B67" s="17" t="n">
        <v>3460</v>
      </c>
      <c r="C67" s="18">
        <f>(3026.0/B67*100)</f>
        <v/>
      </c>
      <c r="D67" s="19" t="n">
        <v>434</v>
      </c>
      <c r="E67" s="18" t="n">
        <v>69.96528111000001</v>
      </c>
      <c r="F67" s="20" t="n">
        <v>2.35525481</v>
      </c>
      <c r="G67" s="18" t="n">
        <v>25.84572698</v>
      </c>
      <c r="H67" s="20" t="n">
        <v>2.34474996</v>
      </c>
      <c r="I67" s="18" t="s">
        <v>349</v>
      </c>
      <c r="J67" s="20" t="s">
        <v>349</v>
      </c>
      <c r="K67" s="18" t="n">
        <v>0</v>
      </c>
      <c r="L67" s="20" t="n">
        <v>0</v>
      </c>
      <c r="M67" s="18" t="n">
        <v>0</v>
      </c>
      <c r="N67" s="20" t="n">
        <v>0</v>
      </c>
      <c r="O67" s="18" t="n">
        <v>0</v>
      </c>
      <c r="P67" s="20" t="n">
        <v>0</v>
      </c>
      <c r="Q67" s="18" t="n">
        <v>4.18899191</v>
      </c>
      <c r="R67" s="20" t="n">
        <v>0.91188264</v>
      </c>
    </row>
    <row r="68" spans="1:18">
      <c r="A68" s="15" t="s">
        <v>410</v>
      </c>
      <c r="B68" s="17" t="n">
        <v>6034</v>
      </c>
      <c r="C68" s="18">
        <f>(5046.0/B68*100)</f>
        <v/>
      </c>
      <c r="D68" s="19" t="n">
        <v>988</v>
      </c>
      <c r="E68" s="18" t="n">
        <v>73.13414435</v>
      </c>
      <c r="F68" s="20" t="n">
        <v>1.45402842</v>
      </c>
      <c r="G68" s="18" t="n">
        <v>24.44275514</v>
      </c>
      <c r="H68" s="20" t="n">
        <v>1.43206537</v>
      </c>
      <c r="I68" s="18" t="s">
        <v>349</v>
      </c>
      <c r="J68" s="20" t="s">
        <v>349</v>
      </c>
      <c r="K68" s="18" t="n">
        <v>0.70564141</v>
      </c>
      <c r="L68" s="20" t="n">
        <v>0.30221583</v>
      </c>
      <c r="M68" s="18" t="n">
        <v>0</v>
      </c>
      <c r="N68" s="20" t="n">
        <v>0</v>
      </c>
      <c r="O68" s="18" t="n">
        <v>0</v>
      </c>
      <c r="P68" s="20" t="n">
        <v>0</v>
      </c>
      <c r="Q68" s="18" t="n">
        <v>1.7174591</v>
      </c>
      <c r="R68" s="20" t="n">
        <v>0.45502605</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(2732.0/B70*100)</f>
        <v/>
      </c>
      <c r="D70" s="19" t="n">
        <v>375</v>
      </c>
      <c r="E70" s="18" t="n">
        <v>77.72999016999999</v>
      </c>
      <c r="F70" s="20" t="n">
        <v>2.58246305</v>
      </c>
      <c r="G70" s="18" t="n">
        <v>20.81316636</v>
      </c>
      <c r="H70" s="20" t="n">
        <v>2.59152536</v>
      </c>
      <c r="I70" s="18" t="s">
        <v>349</v>
      </c>
      <c r="J70" s="20" t="s">
        <v>349</v>
      </c>
      <c r="K70" s="18" t="n">
        <v>0.32366779</v>
      </c>
      <c r="L70" s="20" t="n">
        <v>0.22856999</v>
      </c>
      <c r="M70" s="18" t="n">
        <v>0</v>
      </c>
      <c r="N70" s="20" t="n">
        <v>0</v>
      </c>
      <c r="O70" s="18" t="n">
        <v>0</v>
      </c>
      <c r="P70" s="20" t="n">
        <v>0</v>
      </c>
      <c r="Q70" s="18" t="n">
        <v>1.13317568</v>
      </c>
      <c r="R70" s="20" t="n">
        <v>0.54733532</v>
      </c>
    </row>
    <row r="71" spans="1:18">
      <c r="A71" s="15" t="s">
        <v>413</v>
      </c>
      <c r="B71" s="17" t="n">
        <v>2973</v>
      </c>
      <c r="C71" s="18">
        <f>(2593.0/B71*100)</f>
        <v/>
      </c>
      <c r="D71" s="19" t="n">
        <v>380</v>
      </c>
      <c r="E71" s="18" t="n">
        <v>41.05198671</v>
      </c>
      <c r="F71" s="20" t="n">
        <v>2.36714324</v>
      </c>
      <c r="G71" s="18" t="n">
        <v>58.76962587</v>
      </c>
      <c r="H71" s="20" t="n">
        <v>2.38575046</v>
      </c>
      <c r="I71" s="18" t="s">
        <v>349</v>
      </c>
      <c r="J71" s="20" t="s">
        <v>349</v>
      </c>
      <c r="K71" s="18" t="n">
        <v>0</v>
      </c>
      <c r="L71" s="20" t="n">
        <v>0</v>
      </c>
      <c r="M71" s="18" t="n">
        <v>0</v>
      </c>
      <c r="N71" s="20" t="n">
        <v>0</v>
      </c>
      <c r="O71" s="18" t="n">
        <v>0</v>
      </c>
      <c r="P71" s="20" t="n">
        <v>0</v>
      </c>
      <c r="Q71" s="18" t="n">
        <v>0.17838742</v>
      </c>
      <c r="R71" s="20" t="n">
        <v>0.17902745</v>
      </c>
    </row>
    <row r="72" spans="1:18">
      <c r="A72" s="15" t="s">
        <v>414</v>
      </c>
      <c r="B72" s="17" t="n">
        <v>3819</v>
      </c>
      <c r="C72" s="18">
        <f>(3341.0/B72*100)</f>
        <v/>
      </c>
      <c r="D72" s="19" t="n">
        <v>478</v>
      </c>
      <c r="E72" s="18" t="n">
        <v>72.96961705</v>
      </c>
      <c r="F72" s="20" t="n">
        <v>2.42694012</v>
      </c>
      <c r="G72" s="18" t="n">
        <v>25.9948151</v>
      </c>
      <c r="H72" s="20" t="n">
        <v>2.44883588</v>
      </c>
      <c r="I72" s="18" t="s">
        <v>349</v>
      </c>
      <c r="J72" s="20" t="s">
        <v>349</v>
      </c>
      <c r="K72" s="18" t="n">
        <v>0</v>
      </c>
      <c r="L72" s="20" t="n">
        <v>0</v>
      </c>
      <c r="M72" s="18" t="n">
        <v>0</v>
      </c>
      <c r="N72" s="20" t="n">
        <v>0</v>
      </c>
      <c r="O72" s="18" t="n">
        <v>0</v>
      </c>
      <c r="P72" s="20" t="n">
        <v>0</v>
      </c>
      <c r="Q72" s="18" t="n">
        <v>1.03556785</v>
      </c>
      <c r="R72" s="20" t="n">
        <v>0.531687</v>
      </c>
    </row>
    <row r="73" spans="1:18">
      <c r="A73" s="15" t="s">
        <v>415</v>
      </c>
      <c r="B73" s="17" t="n">
        <v>4652</v>
      </c>
      <c r="C73" s="18">
        <f>(4089.0/B73*100)</f>
        <v/>
      </c>
      <c r="D73" s="19" t="n">
        <v>563</v>
      </c>
      <c r="E73" s="18" t="n">
        <v>77.82447306</v>
      </c>
      <c r="F73" s="20" t="n">
        <v>1.95337802</v>
      </c>
      <c r="G73" s="18" t="n">
        <v>21.50950621</v>
      </c>
      <c r="H73" s="20" t="n">
        <v>1.89882691</v>
      </c>
      <c r="I73" s="18" t="s">
        <v>349</v>
      </c>
      <c r="J73" s="20" t="s">
        <v>349</v>
      </c>
      <c r="K73" s="18" t="n">
        <v>0</v>
      </c>
      <c r="L73" s="20" t="n">
        <v>0</v>
      </c>
      <c r="M73" s="18" t="n">
        <v>0</v>
      </c>
      <c r="N73" s="20" t="n">
        <v>0</v>
      </c>
      <c r="O73" s="18" t="n">
        <v>0</v>
      </c>
      <c r="P73" s="20" t="n">
        <v>0</v>
      </c>
      <c r="Q73" s="18" t="n">
        <v>0.6660207299999999</v>
      </c>
      <c r="R73" s="20" t="n">
        <v>0.3887294</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(2618.0/B75*100)</f>
        <v/>
      </c>
      <c r="D75" s="19" t="n">
        <v>351</v>
      </c>
      <c r="E75" s="18" t="n">
        <v>79.6337588</v>
      </c>
      <c r="F75" s="20" t="n">
        <v>2.05599247</v>
      </c>
      <c r="G75" s="18" t="n">
        <v>16.11019033</v>
      </c>
      <c r="H75" s="20" t="n">
        <v>2.13303101</v>
      </c>
      <c r="I75" s="18" t="s">
        <v>349</v>
      </c>
      <c r="J75" s="20" t="s">
        <v>349</v>
      </c>
      <c r="K75" s="18" t="n">
        <v>1.53055509</v>
      </c>
      <c r="L75" s="20" t="n">
        <v>0.6488238200000001</v>
      </c>
      <c r="M75" s="18" t="n">
        <v>0</v>
      </c>
      <c r="N75" s="20" t="n">
        <v>0</v>
      </c>
      <c r="O75" s="18" t="n">
        <v>0</v>
      </c>
      <c r="P75" s="20" t="n">
        <v>0</v>
      </c>
      <c r="Q75" s="18" t="n">
        <v>2.72549578</v>
      </c>
      <c r="R75" s="20" t="n">
        <v>0.8406097300000001</v>
      </c>
    </row>
    <row r="76" spans="1:18">
      <c r="A76" s="15" t="s">
        <v>418</v>
      </c>
      <c r="B76" s="17" t="n">
        <v>7115</v>
      </c>
      <c r="C76" s="18">
        <f>(6237.0/B76*100)</f>
        <v/>
      </c>
      <c r="D76" s="19" t="n">
        <v>878</v>
      </c>
      <c r="E76" s="18" t="n">
        <v>70.57959609</v>
      </c>
      <c r="F76" s="20" t="n">
        <v>2.38804067</v>
      </c>
      <c r="G76" s="18" t="n">
        <v>28.46510708</v>
      </c>
      <c r="H76" s="20" t="n">
        <v>2.4464806</v>
      </c>
      <c r="I76" s="18" t="s">
        <v>349</v>
      </c>
      <c r="J76" s="20" t="s">
        <v>349</v>
      </c>
      <c r="K76" s="18" t="n">
        <v>0.33669555</v>
      </c>
      <c r="L76" s="20" t="n">
        <v>0.26664547</v>
      </c>
      <c r="M76" s="18" t="n">
        <v>0</v>
      </c>
      <c r="N76" s="20" t="n">
        <v>0</v>
      </c>
      <c r="O76" s="18" t="n">
        <v>0</v>
      </c>
      <c r="P76" s="20" t="n">
        <v>0</v>
      </c>
      <c r="Q76" s="18" t="n">
        <v>0.61860127</v>
      </c>
      <c r="R76" s="20" t="n">
        <v>0.30581453</v>
      </c>
    </row>
    <row r="77" spans="1:18">
      <c r="A77" s="15" t="s">
        <v>419</v>
      </c>
      <c r="B77" s="17" t="n">
        <v>3154</v>
      </c>
      <c r="C77" s="18">
        <f>(2776.0/B77*100)</f>
        <v/>
      </c>
      <c r="D77" s="19" t="n">
        <v>378</v>
      </c>
      <c r="E77" s="18" t="n">
        <v>84.12830563</v>
      </c>
      <c r="F77" s="20" t="n">
        <v>2.09400107</v>
      </c>
      <c r="G77" s="18" t="n">
        <v>12.0435418</v>
      </c>
      <c r="H77" s="20" t="n">
        <v>1.72115457</v>
      </c>
      <c r="I77" s="18" t="s">
        <v>349</v>
      </c>
      <c r="J77" s="20" t="s">
        <v>349</v>
      </c>
      <c r="K77" s="18" t="n">
        <v>0</v>
      </c>
      <c r="L77" s="20" t="n">
        <v>0</v>
      </c>
      <c r="M77" s="18" t="n">
        <v>0</v>
      </c>
      <c r="N77" s="20" t="n">
        <v>0</v>
      </c>
      <c r="O77" s="18" t="n">
        <v>0</v>
      </c>
      <c r="P77" s="20" t="n">
        <v>0</v>
      </c>
      <c r="Q77" s="18" t="n">
        <v>3.82815257</v>
      </c>
      <c r="R77" s="20" t="n">
        <v>1.07809843</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(4119.0/B81*100)</f>
        <v/>
      </c>
      <c r="D81" s="19" t="n">
        <v>579</v>
      </c>
      <c r="E81" s="18" t="n">
        <v>84.38523265000001</v>
      </c>
      <c r="F81" s="20" t="n">
        <v>1.94381729</v>
      </c>
      <c r="G81" s="18" t="n">
        <v>14.84907936</v>
      </c>
      <c r="H81" s="20" t="n">
        <v>1.9252392</v>
      </c>
      <c r="I81" s="18" t="s">
        <v>349</v>
      </c>
      <c r="J81" s="20" t="s">
        <v>349</v>
      </c>
      <c r="K81" s="18" t="n">
        <v>0.23222901</v>
      </c>
      <c r="L81" s="20" t="n">
        <v>0.23162311</v>
      </c>
      <c r="M81" s="18" t="n">
        <v>0</v>
      </c>
      <c r="N81" s="20" t="n">
        <v>0</v>
      </c>
      <c r="O81" s="18" t="n">
        <v>0</v>
      </c>
      <c r="P81" s="20" t="n">
        <v>0</v>
      </c>
      <c r="Q81" s="18" t="n">
        <v>0.53345898</v>
      </c>
      <c r="R81" s="20" t="n">
        <v>0.36546794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(6293.0/B7*100)</f>
        <v/>
      </c>
      <c r="D7" s="19" t="n">
        <v>870</v>
      </c>
      <c r="E7" s="18" t="n">
        <v>38.34139367</v>
      </c>
      <c r="F7" s="20" t="n">
        <v>1.89559247</v>
      </c>
      <c r="G7" s="18" t="n">
        <v>60.94137736</v>
      </c>
      <c r="H7" s="20" t="n">
        <v>1.94056444</v>
      </c>
      <c r="I7" s="18" t="s">
        <v>349</v>
      </c>
      <c r="J7" s="20" t="s">
        <v>349</v>
      </c>
      <c r="K7" s="18" t="n">
        <v>0.3453111</v>
      </c>
      <c r="L7" s="20" t="n">
        <v>0.23988425</v>
      </c>
      <c r="M7" s="18" t="n">
        <v>0</v>
      </c>
      <c r="N7" s="20" t="n">
        <v>0</v>
      </c>
      <c r="O7" s="18" t="n">
        <v>0</v>
      </c>
      <c r="P7" s="20" t="n">
        <v>0</v>
      </c>
      <c r="Q7" s="18" t="n">
        <v>0.37191786</v>
      </c>
      <c r="R7" s="20" t="n">
        <v>0.09928548</v>
      </c>
    </row>
    <row r="8" spans="1:18">
      <c r="A8" s="15" t="s">
        <v>350</v>
      </c>
      <c r="B8" s="17" t="n">
        <v>3443</v>
      </c>
      <c r="C8" s="18">
        <f>(3019.0/B8*100)</f>
        <v/>
      </c>
      <c r="D8" s="19" t="n">
        <v>424</v>
      </c>
      <c r="E8" s="18" t="n">
        <v>36.72819192</v>
      </c>
      <c r="F8" s="20" t="n">
        <v>2.52665235</v>
      </c>
      <c r="G8" s="18" t="n">
        <v>62.98464015</v>
      </c>
      <c r="H8" s="20" t="n">
        <v>2.48001324</v>
      </c>
      <c r="I8" s="18" t="s">
        <v>349</v>
      </c>
      <c r="J8" s="20" t="s">
        <v>349</v>
      </c>
      <c r="K8" s="18" t="n">
        <v>0</v>
      </c>
      <c r="L8" s="20" t="n">
        <v>0</v>
      </c>
      <c r="M8" s="18" t="n">
        <v>0</v>
      </c>
      <c r="N8" s="20" t="n">
        <v>0</v>
      </c>
      <c r="O8" s="18" t="n">
        <v>0</v>
      </c>
      <c r="P8" s="20" t="n">
        <v>0</v>
      </c>
      <c r="Q8" s="18" t="n">
        <v>0.28716793</v>
      </c>
      <c r="R8" s="20" t="n">
        <v>0.29276728</v>
      </c>
    </row>
    <row r="9" spans="1:18">
      <c r="A9" s="15" t="s">
        <v>351</v>
      </c>
      <c r="B9" s="17" t="n">
        <v>4752</v>
      </c>
      <c r="C9" s="18">
        <f>(4190.0/B9*100)</f>
        <v/>
      </c>
      <c r="D9" s="19" t="n">
        <v>562</v>
      </c>
      <c r="E9" s="18" t="n">
        <v>32.61173499</v>
      </c>
      <c r="F9" s="20" t="n">
        <v>1.9324227</v>
      </c>
      <c r="G9" s="18" t="n">
        <v>66.82919898999999</v>
      </c>
      <c r="H9" s="20" t="n">
        <v>2.00978181</v>
      </c>
      <c r="I9" s="18" t="s">
        <v>349</v>
      </c>
      <c r="J9" s="20" t="s">
        <v>349</v>
      </c>
      <c r="K9" s="18" t="n">
        <v>0.08322236</v>
      </c>
      <c r="L9" s="20" t="n">
        <v>0.08290198999999999</v>
      </c>
      <c r="M9" s="18" t="n">
        <v>0</v>
      </c>
      <c r="N9" s="20" t="n">
        <v>0</v>
      </c>
      <c r="O9" s="18" t="n">
        <v>0</v>
      </c>
      <c r="P9" s="20" t="n">
        <v>0</v>
      </c>
      <c r="Q9" s="18" t="n">
        <v>0.47584366</v>
      </c>
      <c r="R9" s="20" t="n">
        <v>0.31579623</v>
      </c>
    </row>
    <row r="10" spans="1:18">
      <c r="A10" s="15" t="s">
        <v>352</v>
      </c>
      <c r="B10" s="17" t="n">
        <v>10022</v>
      </c>
      <c r="C10" s="18">
        <f>(8775.0/B10*100)</f>
        <v/>
      </c>
      <c r="D10" s="19" t="n">
        <v>1247</v>
      </c>
      <c r="E10" s="18" t="n">
        <v>35.35827334</v>
      </c>
      <c r="F10" s="20" t="n">
        <v>1.93659109</v>
      </c>
      <c r="G10" s="18" t="n">
        <v>64.27285843999999</v>
      </c>
      <c r="H10" s="20" t="n">
        <v>1.93361975</v>
      </c>
      <c r="I10" s="18" t="s">
        <v>349</v>
      </c>
      <c r="J10" s="20" t="s">
        <v>349</v>
      </c>
      <c r="K10" s="18" t="n">
        <v>0.12319333</v>
      </c>
      <c r="L10" s="20" t="n">
        <v>0.12159425</v>
      </c>
      <c r="M10" s="18" t="n">
        <v>0</v>
      </c>
      <c r="N10" s="20" t="n">
        <v>0</v>
      </c>
      <c r="O10" s="18" t="n">
        <v>0</v>
      </c>
      <c r="P10" s="20" t="n">
        <v>0</v>
      </c>
      <c r="Q10" s="18" t="n">
        <v>0.2456749</v>
      </c>
      <c r="R10" s="20" t="n">
        <v>0.18466954</v>
      </c>
    </row>
    <row r="11" spans="1:18">
      <c r="A11" s="15" t="s">
        <v>353</v>
      </c>
      <c r="B11" s="17" t="n">
        <v>3500</v>
      </c>
      <c r="C11" s="18">
        <f>(3073.0/B11*100)</f>
        <v/>
      </c>
      <c r="D11" s="19" t="n">
        <v>427</v>
      </c>
      <c r="E11" s="18" t="n">
        <v>44.08930219</v>
      </c>
      <c r="F11" s="20" t="n">
        <v>2.51359033</v>
      </c>
      <c r="G11" s="18" t="n">
        <v>54.41802894</v>
      </c>
      <c r="H11" s="20" t="n">
        <v>2.48325809</v>
      </c>
      <c r="I11" s="18" t="s">
        <v>349</v>
      </c>
      <c r="J11" s="20" t="s">
        <v>349</v>
      </c>
      <c r="K11" s="18" t="n">
        <v>0</v>
      </c>
      <c r="L11" s="20" t="n">
        <v>0</v>
      </c>
      <c r="M11" s="18" t="n">
        <v>0</v>
      </c>
      <c r="N11" s="20" t="n">
        <v>0</v>
      </c>
      <c r="O11" s="18" t="n">
        <v>0</v>
      </c>
      <c r="P11" s="20" t="n">
        <v>0</v>
      </c>
      <c r="Q11" s="18" t="n">
        <v>1.49266887</v>
      </c>
      <c r="R11" s="20" t="n">
        <v>0.46123317</v>
      </c>
    </row>
    <row r="12" spans="1:18">
      <c r="A12" s="15" t="s">
        <v>354</v>
      </c>
      <c r="B12" s="17" t="n">
        <v>3422</v>
      </c>
      <c r="C12" s="18">
        <f>(3007.0/B12*100)</f>
        <v/>
      </c>
      <c r="D12" s="19" t="n">
        <v>415</v>
      </c>
      <c r="E12" s="18" t="n">
        <v>35.3315559</v>
      </c>
      <c r="F12" s="20" t="n">
        <v>2.96933091</v>
      </c>
      <c r="G12" s="18" t="n">
        <v>64.6684441</v>
      </c>
      <c r="H12" s="20" t="n">
        <v>2.96933091</v>
      </c>
      <c r="I12" s="18" t="s">
        <v>349</v>
      </c>
      <c r="J12" s="20" t="s">
        <v>349</v>
      </c>
      <c r="K12" s="18" t="n">
        <v>0</v>
      </c>
      <c r="L12" s="20" t="n">
        <v>0</v>
      </c>
      <c r="M12" s="18" t="n">
        <v>0</v>
      </c>
      <c r="N12" s="20" t="n">
        <v>0</v>
      </c>
      <c r="O12" s="18" t="n">
        <v>0</v>
      </c>
      <c r="P12" s="20" t="n">
        <v>0</v>
      </c>
      <c r="Q12" s="18" t="n">
        <v>0</v>
      </c>
      <c r="R12" s="20" t="n">
        <v>0</v>
      </c>
    </row>
    <row r="13" spans="1:18">
      <c r="A13" s="15" t="s">
        <v>355</v>
      </c>
      <c r="B13" s="17" t="n">
        <v>3602</v>
      </c>
      <c r="C13" s="18">
        <f>(3194.0/B13*100)</f>
        <v/>
      </c>
      <c r="D13" s="19" t="n">
        <v>408</v>
      </c>
      <c r="E13" s="18" t="n">
        <v>33.68600011</v>
      </c>
      <c r="F13" s="20" t="n">
        <v>3.09470989</v>
      </c>
      <c r="G13" s="18" t="n">
        <v>64.71982103000001</v>
      </c>
      <c r="H13" s="20" t="n">
        <v>2.88375768</v>
      </c>
      <c r="I13" s="18" t="s">
        <v>349</v>
      </c>
      <c r="J13" s="20" t="s">
        <v>349</v>
      </c>
      <c r="K13" s="18" t="n">
        <v>1.55364742</v>
      </c>
      <c r="L13" s="20" t="n">
        <v>0.96164965</v>
      </c>
      <c r="M13" s="18" t="n">
        <v>0</v>
      </c>
      <c r="N13" s="20" t="n">
        <v>0</v>
      </c>
      <c r="O13" s="18" t="n">
        <v>0</v>
      </c>
      <c r="P13" s="20" t="n">
        <v>0</v>
      </c>
      <c r="Q13" s="18" t="n">
        <v>0.04053143</v>
      </c>
      <c r="R13" s="20" t="n">
        <v>0.04076891</v>
      </c>
    </row>
    <row r="14" spans="1:18">
      <c r="A14" s="15" t="s">
        <v>356</v>
      </c>
      <c r="B14" s="17" t="n">
        <v>2788</v>
      </c>
      <c r="C14" s="18">
        <f>(2436.0/B14*100)</f>
        <v/>
      </c>
      <c r="D14" s="19" t="n">
        <v>352</v>
      </c>
      <c r="E14" s="18" t="n">
        <v>46.19452991</v>
      </c>
      <c r="F14" s="20" t="n">
        <v>2.95789958</v>
      </c>
      <c r="G14" s="18" t="n">
        <v>53.80547009</v>
      </c>
      <c r="H14" s="20" t="n">
        <v>2.95789958</v>
      </c>
      <c r="I14" s="18" t="s">
        <v>349</v>
      </c>
      <c r="J14" s="20" t="s">
        <v>349</v>
      </c>
      <c r="K14" s="18" t="n">
        <v>0</v>
      </c>
      <c r="L14" s="20" t="n">
        <v>0</v>
      </c>
      <c r="M14" s="18" t="n">
        <v>0</v>
      </c>
      <c r="N14" s="20" t="n">
        <v>0</v>
      </c>
      <c r="O14" s="18" t="n">
        <v>0</v>
      </c>
      <c r="P14" s="20" t="n">
        <v>0</v>
      </c>
      <c r="Q14" s="18" t="n">
        <v>0</v>
      </c>
      <c r="R14" s="20" t="n">
        <v>0</v>
      </c>
    </row>
    <row r="15" spans="1:18">
      <c r="A15" s="15" t="s">
        <v>357</v>
      </c>
      <c r="B15" s="17" t="n">
        <v>2863</v>
      </c>
      <c r="C15" s="18">
        <f>(2534.0/B15*100)</f>
        <v/>
      </c>
      <c r="D15" s="19" t="n">
        <v>329</v>
      </c>
      <c r="E15" s="18" t="n">
        <v>20.58024639</v>
      </c>
      <c r="F15" s="20" t="n">
        <v>2.0703769</v>
      </c>
      <c r="G15" s="18" t="n">
        <v>79.41975361</v>
      </c>
      <c r="H15" s="20" t="n">
        <v>2.0703769</v>
      </c>
      <c r="I15" s="18" t="s">
        <v>349</v>
      </c>
      <c r="J15" s="20" t="s">
        <v>349</v>
      </c>
      <c r="K15" s="18" t="n">
        <v>0</v>
      </c>
      <c r="L15" s="20" t="n">
        <v>0</v>
      </c>
      <c r="M15" s="18" t="n">
        <v>0</v>
      </c>
      <c r="N15" s="20" t="n">
        <v>0</v>
      </c>
      <c r="O15" s="18" t="n">
        <v>0</v>
      </c>
      <c r="P15" s="20" t="n">
        <v>0</v>
      </c>
      <c r="Q15" s="18" t="n">
        <v>0</v>
      </c>
      <c r="R15" s="20" t="n">
        <v>0</v>
      </c>
    </row>
    <row r="16" spans="1:18">
      <c r="A16" s="15" t="s">
        <v>358</v>
      </c>
      <c r="B16" s="17" t="n">
        <v>3111</v>
      </c>
      <c r="C16" s="18">
        <f>(2742.0/B16*100)</f>
        <v/>
      </c>
      <c r="D16" s="19" t="n">
        <v>369</v>
      </c>
      <c r="E16" s="18" t="n">
        <v>30.4628566</v>
      </c>
      <c r="F16" s="20" t="n">
        <v>2.55296687</v>
      </c>
      <c r="G16" s="18" t="n">
        <v>69.53714340000001</v>
      </c>
      <c r="H16" s="20" t="n">
        <v>2.55296687</v>
      </c>
      <c r="I16" s="18" t="s">
        <v>349</v>
      </c>
      <c r="J16" s="20" t="s">
        <v>349</v>
      </c>
      <c r="K16" s="18" t="n">
        <v>0</v>
      </c>
      <c r="L16" s="20" t="n">
        <v>0</v>
      </c>
      <c r="M16" s="18" t="n">
        <v>0</v>
      </c>
      <c r="N16" s="20" t="n">
        <v>0</v>
      </c>
      <c r="O16" s="18" t="n">
        <v>0</v>
      </c>
      <c r="P16" s="20" t="n">
        <v>0</v>
      </c>
      <c r="Q16" s="18" t="n">
        <v>0</v>
      </c>
      <c r="R16" s="20" t="n">
        <v>0</v>
      </c>
    </row>
    <row r="17" spans="1:18">
      <c r="A17" s="15" t="s">
        <v>359</v>
      </c>
      <c r="B17" s="17" t="n">
        <v>3197</v>
      </c>
      <c r="C17" s="18">
        <f>(2835.0/B17*100)</f>
        <v/>
      </c>
      <c r="D17" s="19" t="n">
        <v>362</v>
      </c>
      <c r="E17" s="18" t="n">
        <v>35.67205161</v>
      </c>
      <c r="F17" s="20" t="n">
        <v>2.59106748</v>
      </c>
      <c r="G17" s="18" t="n">
        <v>63.78643975</v>
      </c>
      <c r="H17" s="20" t="n">
        <v>2.59632659</v>
      </c>
      <c r="I17" s="18" t="s">
        <v>349</v>
      </c>
      <c r="J17" s="20" t="s">
        <v>349</v>
      </c>
      <c r="K17" s="18" t="n">
        <v>0</v>
      </c>
      <c r="L17" s="20" t="n">
        <v>0</v>
      </c>
      <c r="M17" s="18" t="n">
        <v>0</v>
      </c>
      <c r="N17" s="20" t="n">
        <v>0</v>
      </c>
      <c r="O17" s="18" t="n">
        <v>0</v>
      </c>
      <c r="P17" s="20" t="n">
        <v>0</v>
      </c>
      <c r="Q17" s="18" t="n">
        <v>0.54150864</v>
      </c>
      <c r="R17" s="20" t="n">
        <v>0.40025628</v>
      </c>
    </row>
    <row r="18" spans="1:18">
      <c r="A18" s="15" t="s">
        <v>360</v>
      </c>
      <c r="B18" s="17" t="n">
        <v>2706</v>
      </c>
      <c r="C18" s="18">
        <f>(2377.0/B18*100)</f>
        <v/>
      </c>
      <c r="D18" s="19" t="n">
        <v>329</v>
      </c>
      <c r="E18" s="18" t="n">
        <v>36.27915706</v>
      </c>
      <c r="F18" s="20" t="n">
        <v>3.12042486</v>
      </c>
      <c r="G18" s="18" t="n">
        <v>63.18159758</v>
      </c>
      <c r="H18" s="20" t="n">
        <v>3.14324966</v>
      </c>
      <c r="I18" s="18" t="s">
        <v>349</v>
      </c>
      <c r="J18" s="20" t="s">
        <v>349</v>
      </c>
      <c r="K18" s="18" t="n">
        <v>0</v>
      </c>
      <c r="L18" s="20" t="n">
        <v>0</v>
      </c>
      <c r="M18" s="18" t="n">
        <v>0</v>
      </c>
      <c r="N18" s="20" t="n">
        <v>0</v>
      </c>
      <c r="O18" s="18" t="n">
        <v>0</v>
      </c>
      <c r="P18" s="20" t="n">
        <v>0</v>
      </c>
      <c r="Q18" s="18" t="n">
        <v>0.53924536</v>
      </c>
      <c r="R18" s="20" t="n">
        <v>0.38059215</v>
      </c>
    </row>
    <row r="19" spans="1:18">
      <c r="A19" s="15" t="s">
        <v>361</v>
      </c>
      <c r="B19" s="17" t="n">
        <v>2850</v>
      </c>
      <c r="C19" s="18">
        <f>(2503.0/B19*100)</f>
        <v/>
      </c>
      <c r="D19" s="19" t="n">
        <v>347</v>
      </c>
      <c r="E19" s="18" t="n">
        <v>36.24986684</v>
      </c>
      <c r="F19" s="20" t="n">
        <v>2.43593774</v>
      </c>
      <c r="G19" s="18" t="n">
        <v>63.15074641</v>
      </c>
      <c r="H19" s="20" t="n">
        <v>2.47722748</v>
      </c>
      <c r="I19" s="18" t="s">
        <v>349</v>
      </c>
      <c r="J19" s="20" t="s">
        <v>349</v>
      </c>
      <c r="K19" s="18" t="n">
        <v>0</v>
      </c>
      <c r="L19" s="20" t="n">
        <v>0</v>
      </c>
      <c r="M19" s="18" t="n">
        <v>0</v>
      </c>
      <c r="N19" s="20" t="n">
        <v>0</v>
      </c>
      <c r="O19" s="18" t="n">
        <v>0</v>
      </c>
      <c r="P19" s="20" t="n">
        <v>0</v>
      </c>
      <c r="Q19" s="18" t="n">
        <v>0.59938675</v>
      </c>
      <c r="R19" s="20" t="n">
        <v>0.40952086</v>
      </c>
    </row>
    <row r="20" spans="1:18">
      <c r="A20" s="15" t="s">
        <v>362</v>
      </c>
      <c r="B20" s="17" t="n">
        <v>1741</v>
      </c>
      <c r="C20" s="18">
        <f>(1527.0/B20*100)</f>
        <v/>
      </c>
      <c r="D20" s="19" t="n">
        <v>214</v>
      </c>
      <c r="E20" s="18" t="n">
        <v>37.79098705</v>
      </c>
      <c r="F20" s="20" t="n">
        <v>3.15540749</v>
      </c>
      <c r="G20" s="18" t="n">
        <v>61.73057976</v>
      </c>
      <c r="H20" s="20" t="n">
        <v>3.21280545</v>
      </c>
      <c r="I20" s="18" t="s">
        <v>349</v>
      </c>
      <c r="J20" s="20" t="s">
        <v>349</v>
      </c>
      <c r="K20" s="18" t="n">
        <v>0</v>
      </c>
      <c r="L20" s="20" t="n">
        <v>0</v>
      </c>
      <c r="M20" s="18" t="n">
        <v>0</v>
      </c>
      <c r="N20" s="20" t="n">
        <v>0</v>
      </c>
      <c r="O20" s="18" t="n">
        <v>0</v>
      </c>
      <c r="P20" s="20" t="n">
        <v>0</v>
      </c>
      <c r="Q20" s="18" t="n">
        <v>0.47843319</v>
      </c>
      <c r="R20" s="20" t="n">
        <v>0.48170167</v>
      </c>
    </row>
    <row r="21" spans="1:18">
      <c r="A21" s="15" t="s">
        <v>363</v>
      </c>
      <c r="B21" s="17" t="n">
        <v>2833</v>
      </c>
      <c r="C21" s="18">
        <f>(2349.0/B21*100)</f>
        <v/>
      </c>
      <c r="D21" s="19" t="n">
        <v>484</v>
      </c>
      <c r="E21" s="18" t="n">
        <v>39.96656242</v>
      </c>
      <c r="F21" s="20" t="n">
        <v>2.01258501</v>
      </c>
      <c r="G21" s="18" t="n">
        <v>59.66724722</v>
      </c>
      <c r="H21" s="20" t="n">
        <v>2.02559843</v>
      </c>
      <c r="I21" s="18" t="s">
        <v>349</v>
      </c>
      <c r="J21" s="20" t="s">
        <v>349</v>
      </c>
      <c r="K21" s="18" t="n">
        <v>0</v>
      </c>
      <c r="L21" s="20" t="n">
        <v>0</v>
      </c>
      <c r="M21" s="18" t="n">
        <v>0</v>
      </c>
      <c r="N21" s="20" t="n">
        <v>0</v>
      </c>
      <c r="O21" s="18" t="n">
        <v>0</v>
      </c>
      <c r="P21" s="20" t="n">
        <v>0</v>
      </c>
      <c r="Q21" s="18" t="n">
        <v>0.36619036</v>
      </c>
      <c r="R21" s="20" t="n">
        <v>0.27334478</v>
      </c>
    </row>
    <row r="22" spans="1:18">
      <c r="A22" s="15" t="s">
        <v>364</v>
      </c>
      <c r="B22" s="17" t="n">
        <v>3667</v>
      </c>
      <c r="C22" s="18">
        <f>(3177.0/B22*100)</f>
        <v/>
      </c>
      <c r="D22" s="19" t="n">
        <v>490</v>
      </c>
      <c r="E22" s="18" t="n">
        <v>43.84851607</v>
      </c>
      <c r="F22" s="20" t="n">
        <v>2.54924567</v>
      </c>
      <c r="G22" s="18" t="n">
        <v>54.54210592</v>
      </c>
      <c r="H22" s="20" t="n">
        <v>2.59194802</v>
      </c>
      <c r="I22" s="18" t="s">
        <v>349</v>
      </c>
      <c r="J22" s="20" t="s">
        <v>349</v>
      </c>
      <c r="K22" s="18" t="n">
        <v>0.57251095</v>
      </c>
      <c r="L22" s="20" t="n">
        <v>0.33167084</v>
      </c>
      <c r="M22" s="18" t="n">
        <v>0</v>
      </c>
      <c r="N22" s="20" t="n">
        <v>0</v>
      </c>
      <c r="O22" s="18" t="n">
        <v>0</v>
      </c>
      <c r="P22" s="20" t="n">
        <v>0</v>
      </c>
      <c r="Q22" s="18" t="n">
        <v>1.03686706</v>
      </c>
      <c r="R22" s="20" t="n">
        <v>0.53180078</v>
      </c>
    </row>
    <row r="23" spans="1:18">
      <c r="A23" s="15" t="s">
        <v>365</v>
      </c>
      <c r="B23" s="17" t="n">
        <v>5792</v>
      </c>
      <c r="C23" s="18">
        <f>(5082.0/B23*100)</f>
        <v/>
      </c>
      <c r="D23" s="19" t="n">
        <v>710</v>
      </c>
      <c r="E23" s="18" t="n">
        <v>29.7477693</v>
      </c>
      <c r="F23" s="20" t="n">
        <v>2.71944433</v>
      </c>
      <c r="G23" s="18" t="n">
        <v>69.59730069</v>
      </c>
      <c r="H23" s="20" t="n">
        <v>2.84315438</v>
      </c>
      <c r="I23" s="18" t="s">
        <v>349</v>
      </c>
      <c r="J23" s="20" t="s">
        <v>349</v>
      </c>
      <c r="K23" s="18" t="n">
        <v>0.06369178</v>
      </c>
      <c r="L23" s="20" t="n">
        <v>0.06854159999999999</v>
      </c>
      <c r="M23" s="18" t="n">
        <v>0</v>
      </c>
      <c r="N23" s="20" t="n">
        <v>0</v>
      </c>
      <c r="O23" s="18" t="n">
        <v>0</v>
      </c>
      <c r="P23" s="20" t="n">
        <v>0</v>
      </c>
      <c r="Q23" s="18" t="n">
        <v>0.59123823</v>
      </c>
      <c r="R23" s="20" t="n">
        <v>0.51604294</v>
      </c>
    </row>
    <row r="24" spans="1:18">
      <c r="A24" s="15" t="s">
        <v>366</v>
      </c>
      <c r="B24" s="17" t="n">
        <v>3309</v>
      </c>
      <c r="C24" s="18">
        <f>(2907.0/B24*100)</f>
        <v/>
      </c>
      <c r="D24" s="19" t="n">
        <v>402</v>
      </c>
      <c r="E24" s="18" t="n">
        <v>26.89916121</v>
      </c>
      <c r="F24" s="20" t="n">
        <v>2.22491997</v>
      </c>
      <c r="G24" s="18" t="n">
        <v>73.10083879</v>
      </c>
      <c r="H24" s="20" t="n">
        <v>2.22491997</v>
      </c>
      <c r="I24" s="18" t="s">
        <v>349</v>
      </c>
      <c r="J24" s="20" t="s">
        <v>349</v>
      </c>
      <c r="K24" s="18" t="n">
        <v>0</v>
      </c>
      <c r="L24" s="20" t="n">
        <v>0</v>
      </c>
      <c r="M24" s="18" t="n">
        <v>0</v>
      </c>
      <c r="N24" s="20" t="n">
        <v>0</v>
      </c>
      <c r="O24" s="18" t="n">
        <v>0</v>
      </c>
      <c r="P24" s="20" t="n">
        <v>0</v>
      </c>
      <c r="Q24" s="18" t="n">
        <v>0</v>
      </c>
      <c r="R24" s="20" t="n">
        <v>0</v>
      </c>
    </row>
    <row r="25" spans="1:18">
      <c r="A25" s="15" t="s">
        <v>367</v>
      </c>
      <c r="B25" s="17" t="n">
        <v>2669</v>
      </c>
      <c r="C25" s="18">
        <f>(2338.0/B25*100)</f>
        <v/>
      </c>
      <c r="D25" s="19" t="n">
        <v>331</v>
      </c>
      <c r="E25" s="18" t="n">
        <v>27.50833984</v>
      </c>
      <c r="F25" s="20" t="n">
        <v>2.34634263</v>
      </c>
      <c r="G25" s="18" t="n">
        <v>72.21687309000001</v>
      </c>
      <c r="H25" s="20" t="n">
        <v>2.2837373</v>
      </c>
      <c r="I25" s="18" t="s">
        <v>349</v>
      </c>
      <c r="J25" s="20" t="s">
        <v>349</v>
      </c>
      <c r="K25" s="18" t="n">
        <v>0.27478707</v>
      </c>
      <c r="L25" s="20" t="n">
        <v>0.38770941</v>
      </c>
      <c r="M25" s="18" t="n">
        <v>0</v>
      </c>
      <c r="N25" s="20" t="n">
        <v>0</v>
      </c>
      <c r="O25" s="18" t="n">
        <v>0</v>
      </c>
      <c r="P25" s="20" t="n">
        <v>0</v>
      </c>
      <c r="Q25" s="18" t="n">
        <v>0</v>
      </c>
      <c r="R25" s="20" t="n">
        <v>0</v>
      </c>
    </row>
    <row r="26" spans="1:18">
      <c r="A26" s="15" t="s">
        <v>368</v>
      </c>
      <c r="B26" s="17" t="n">
        <v>2419</v>
      </c>
      <c r="C26" s="18">
        <f>(2125.0/B26*100)</f>
        <v/>
      </c>
      <c r="D26" s="19" t="n">
        <v>294</v>
      </c>
      <c r="E26" s="18" t="n">
        <v>34.93843025</v>
      </c>
      <c r="F26" s="20" t="n">
        <v>3.21512067</v>
      </c>
      <c r="G26" s="18" t="n">
        <v>65.06156975</v>
      </c>
      <c r="H26" s="20" t="n">
        <v>3.21512067</v>
      </c>
      <c r="I26" s="18" t="s">
        <v>349</v>
      </c>
      <c r="J26" s="20" t="s">
        <v>349</v>
      </c>
      <c r="K26" s="18" t="n">
        <v>0</v>
      </c>
      <c r="L26" s="20" t="n">
        <v>0</v>
      </c>
      <c r="M26" s="18" t="n">
        <v>0</v>
      </c>
      <c r="N26" s="20" t="n">
        <v>0</v>
      </c>
      <c r="O26" s="18" t="n">
        <v>0</v>
      </c>
      <c r="P26" s="20" t="n">
        <v>0</v>
      </c>
      <c r="Q26" s="18" t="n">
        <v>0</v>
      </c>
      <c r="R26" s="20" t="n">
        <v>0</v>
      </c>
    </row>
    <row r="27" spans="1:18">
      <c r="A27" s="15" t="s">
        <v>369</v>
      </c>
      <c r="B27" s="17" t="n">
        <v>2683</v>
      </c>
      <c r="C27" s="18">
        <f>(2357.0/B27*100)</f>
        <v/>
      </c>
      <c r="D27" s="19" t="n">
        <v>326</v>
      </c>
      <c r="E27" s="18" t="n">
        <v>38.11549563</v>
      </c>
      <c r="F27" s="20" t="n">
        <v>2.34066836</v>
      </c>
      <c r="G27" s="18" t="n">
        <v>61.25711942</v>
      </c>
      <c r="H27" s="20" t="n">
        <v>2.29879966</v>
      </c>
      <c r="I27" s="18" t="s">
        <v>349</v>
      </c>
      <c r="J27" s="20" t="s">
        <v>349</v>
      </c>
      <c r="K27" s="18" t="n">
        <v>0</v>
      </c>
      <c r="L27" s="20" t="n">
        <v>0</v>
      </c>
      <c r="M27" s="18" t="n">
        <v>0</v>
      </c>
      <c r="N27" s="20" t="n">
        <v>0</v>
      </c>
      <c r="O27" s="18" t="n">
        <v>0</v>
      </c>
      <c r="P27" s="20" t="n">
        <v>0</v>
      </c>
      <c r="Q27" s="18" t="n">
        <v>0.6273849500000001</v>
      </c>
      <c r="R27" s="20" t="n">
        <v>0.44722669</v>
      </c>
    </row>
    <row r="28" spans="1:18">
      <c r="A28" s="15" t="s">
        <v>370</v>
      </c>
      <c r="B28" s="17" t="n">
        <v>3803</v>
      </c>
      <c r="C28" s="18">
        <f>(3350.0/B28*100)</f>
        <v/>
      </c>
      <c r="D28" s="19" t="n">
        <v>453</v>
      </c>
      <c r="E28" s="18" t="n">
        <v>40.61897087</v>
      </c>
      <c r="F28" s="20" t="n">
        <v>2.51619848</v>
      </c>
      <c r="G28" s="18" t="n">
        <v>59.38102913</v>
      </c>
      <c r="H28" s="20" t="n">
        <v>2.51619848</v>
      </c>
      <c r="I28" s="18" t="s">
        <v>349</v>
      </c>
      <c r="J28" s="20" t="s">
        <v>349</v>
      </c>
      <c r="K28" s="18" t="n">
        <v>0</v>
      </c>
      <c r="L28" s="20" t="n">
        <v>0</v>
      </c>
      <c r="M28" s="18" t="n">
        <v>0</v>
      </c>
      <c r="N28" s="20" t="n">
        <v>0</v>
      </c>
      <c r="O28" s="18" t="n">
        <v>0</v>
      </c>
      <c r="P28" s="20" t="n">
        <v>0</v>
      </c>
      <c r="Q28" s="18" t="n">
        <v>0</v>
      </c>
      <c r="R28" s="20" t="n">
        <v>0</v>
      </c>
    </row>
    <row r="29" spans="1:18">
      <c r="A29" s="15" t="s">
        <v>371</v>
      </c>
      <c r="B29" s="17" t="n">
        <v>2700</v>
      </c>
      <c r="C29" s="18">
        <f>(2327.0/B29*100)</f>
        <v/>
      </c>
      <c r="D29" s="19" t="n">
        <v>373</v>
      </c>
      <c r="E29" s="18" t="n">
        <v>31.24779428</v>
      </c>
      <c r="F29" s="20" t="n">
        <v>2.23499535</v>
      </c>
      <c r="G29" s="18" t="n">
        <v>67.56064483</v>
      </c>
      <c r="H29" s="20" t="n">
        <v>2.34102153</v>
      </c>
      <c r="I29" s="18" t="s">
        <v>349</v>
      </c>
      <c r="J29" s="20" t="s">
        <v>349</v>
      </c>
      <c r="K29" s="18" t="n">
        <v>0.87823892</v>
      </c>
      <c r="L29" s="20" t="n">
        <v>0.44433897</v>
      </c>
      <c r="M29" s="18" t="n">
        <v>0</v>
      </c>
      <c r="N29" s="20" t="n">
        <v>0</v>
      </c>
      <c r="O29" s="18" t="n">
        <v>0</v>
      </c>
      <c r="P29" s="20" t="n">
        <v>0</v>
      </c>
      <c r="Q29" s="18" t="n">
        <v>0.31332196</v>
      </c>
      <c r="R29" s="20" t="n">
        <v>0.4129059</v>
      </c>
    </row>
    <row r="30" spans="1:18">
      <c r="A30" s="15" t="s">
        <v>372</v>
      </c>
      <c r="B30" s="17" t="n">
        <v>2257</v>
      </c>
      <c r="C30" s="18">
        <f>(1975.0/B30*100)</f>
        <v/>
      </c>
      <c r="D30" s="19" t="n">
        <v>282</v>
      </c>
      <c r="E30" s="18" t="n">
        <v>37.06393525</v>
      </c>
      <c r="F30" s="20" t="n">
        <v>2.73583548</v>
      </c>
      <c r="G30" s="18" t="n">
        <v>62.93606475</v>
      </c>
      <c r="H30" s="20" t="n">
        <v>2.73583548</v>
      </c>
      <c r="I30" s="18" t="s">
        <v>349</v>
      </c>
      <c r="J30" s="20" t="s">
        <v>349</v>
      </c>
      <c r="K30" s="18" t="n">
        <v>0</v>
      </c>
      <c r="L30" s="20" t="n">
        <v>0</v>
      </c>
      <c r="M30" s="18" t="n">
        <v>0</v>
      </c>
      <c r="N30" s="20" t="n">
        <v>0</v>
      </c>
      <c r="O30" s="18" t="n">
        <v>0</v>
      </c>
      <c r="P30" s="20" t="n">
        <v>0</v>
      </c>
      <c r="Q30" s="18" t="n">
        <v>0</v>
      </c>
      <c r="R30" s="20" t="n">
        <v>0</v>
      </c>
    </row>
    <row r="31" spans="1:18">
      <c r="A31" s="15" t="s">
        <v>373</v>
      </c>
      <c r="B31" s="17" t="n">
        <v>2706</v>
      </c>
      <c r="C31" s="18">
        <f>(2387.0/B31*100)</f>
        <v/>
      </c>
      <c r="D31" s="19" t="n">
        <v>319</v>
      </c>
      <c r="E31" s="18" t="n">
        <v>35.34461584</v>
      </c>
      <c r="F31" s="20" t="n">
        <v>2.41630273</v>
      </c>
      <c r="G31" s="18" t="n">
        <v>63.57655565</v>
      </c>
      <c r="H31" s="20" t="n">
        <v>2.37256989</v>
      </c>
      <c r="I31" s="18" t="s">
        <v>349</v>
      </c>
      <c r="J31" s="20" t="s">
        <v>349</v>
      </c>
      <c r="K31" s="18" t="n">
        <v>0.7417015</v>
      </c>
      <c r="L31" s="20" t="n">
        <v>0.59022</v>
      </c>
      <c r="M31" s="18" t="n">
        <v>0</v>
      </c>
      <c r="N31" s="20" t="n">
        <v>0</v>
      </c>
      <c r="O31" s="18" t="n">
        <v>0</v>
      </c>
      <c r="P31" s="20" t="n">
        <v>0</v>
      </c>
      <c r="Q31" s="18" t="n">
        <v>0.33712701</v>
      </c>
      <c r="R31" s="20" t="n">
        <v>0.33599908</v>
      </c>
    </row>
    <row r="32" spans="1:18">
      <c r="A32" s="15" t="s">
        <v>374</v>
      </c>
      <c r="B32" s="17" t="n">
        <v>2209</v>
      </c>
      <c r="C32" s="18">
        <f>(1849.0/B32*100)</f>
        <v/>
      </c>
      <c r="D32" s="19" t="n">
        <v>360</v>
      </c>
      <c r="E32" s="18" t="n">
        <v>34.1928727</v>
      </c>
      <c r="F32" s="20" t="n">
        <v>2.63936466</v>
      </c>
      <c r="G32" s="18" t="n">
        <v>65.07525527999999</v>
      </c>
      <c r="H32" s="20" t="n">
        <v>2.71798814</v>
      </c>
      <c r="I32" s="18" t="s">
        <v>349</v>
      </c>
      <c r="J32" s="20" t="s">
        <v>349</v>
      </c>
      <c r="K32" s="18" t="n">
        <v>0.27831739</v>
      </c>
      <c r="L32" s="20" t="n">
        <v>0.2780752</v>
      </c>
      <c r="M32" s="18" t="n">
        <v>0</v>
      </c>
      <c r="N32" s="20" t="n">
        <v>0</v>
      </c>
      <c r="O32" s="18" t="n">
        <v>0</v>
      </c>
      <c r="P32" s="20" t="n">
        <v>0</v>
      </c>
      <c r="Q32" s="18" t="n">
        <v>0.45355463</v>
      </c>
      <c r="R32" s="20" t="n">
        <v>0.32327114</v>
      </c>
    </row>
    <row r="33" spans="1:18">
      <c r="A33" s="15" t="s">
        <v>375</v>
      </c>
      <c r="B33" s="17" t="n">
        <v>3651</v>
      </c>
      <c r="C33" s="18">
        <f>(3210.0/B33*100)</f>
        <v/>
      </c>
      <c r="D33" s="19" t="n">
        <v>441</v>
      </c>
      <c r="E33" s="18" t="n">
        <v>36.97128155</v>
      </c>
      <c r="F33" s="20" t="n">
        <v>3.00188886</v>
      </c>
      <c r="G33" s="18" t="n">
        <v>62.70132241</v>
      </c>
      <c r="H33" s="20" t="n">
        <v>2.96701726</v>
      </c>
      <c r="I33" s="18" t="s">
        <v>349</v>
      </c>
      <c r="J33" s="20" t="s">
        <v>349</v>
      </c>
      <c r="K33" s="18" t="n">
        <v>0</v>
      </c>
      <c r="L33" s="20" t="n">
        <v>0</v>
      </c>
      <c r="M33" s="18" t="n">
        <v>0</v>
      </c>
      <c r="N33" s="20" t="n">
        <v>0</v>
      </c>
      <c r="O33" s="18" t="n">
        <v>0</v>
      </c>
      <c r="P33" s="20" t="n">
        <v>0</v>
      </c>
      <c r="Q33" s="18" t="n">
        <v>0.32739604</v>
      </c>
      <c r="R33" s="20" t="n">
        <v>0.32483547</v>
      </c>
    </row>
    <row r="34" spans="1:18">
      <c r="A34" s="15" t="s">
        <v>376</v>
      </c>
      <c r="B34" s="17" t="n">
        <v>3035</v>
      </c>
      <c r="C34" s="18">
        <f>(2650.0/B34*100)</f>
        <v/>
      </c>
      <c r="D34" s="19" t="n">
        <v>385</v>
      </c>
      <c r="E34" s="18" t="n">
        <v>40.27574756</v>
      </c>
      <c r="F34" s="20" t="n">
        <v>2.79004396</v>
      </c>
      <c r="G34" s="18" t="n">
        <v>59.19413027</v>
      </c>
      <c r="H34" s="20" t="n">
        <v>2.80599889</v>
      </c>
      <c r="I34" s="18" t="s">
        <v>349</v>
      </c>
      <c r="J34" s="20" t="s">
        <v>349</v>
      </c>
      <c r="K34" s="18" t="n">
        <v>0</v>
      </c>
      <c r="L34" s="20" t="n">
        <v>0</v>
      </c>
      <c r="M34" s="18" t="n">
        <v>0</v>
      </c>
      <c r="N34" s="20" t="n">
        <v>0</v>
      </c>
      <c r="O34" s="18" t="n">
        <v>0</v>
      </c>
      <c r="P34" s="20" t="n">
        <v>0</v>
      </c>
      <c r="Q34" s="18" t="n">
        <v>0.5301221699999999</v>
      </c>
      <c r="R34" s="20" t="n">
        <v>0.37980542</v>
      </c>
    </row>
    <row r="35" spans="1:18">
      <c r="A35" s="15" t="s">
        <v>377</v>
      </c>
      <c r="B35" s="17" t="n">
        <v>2901</v>
      </c>
      <c r="C35" s="18">
        <f>(2551.0/B35*100)</f>
        <v/>
      </c>
      <c r="D35" s="19" t="n">
        <v>350</v>
      </c>
      <c r="E35" s="18" t="n">
        <v>34.83654201</v>
      </c>
      <c r="F35" s="20" t="n">
        <v>3.24018692</v>
      </c>
      <c r="G35" s="18" t="n">
        <v>64.99635135</v>
      </c>
      <c r="H35" s="20" t="n">
        <v>3.2342905</v>
      </c>
      <c r="I35" s="18" t="s">
        <v>349</v>
      </c>
      <c r="J35" s="20" t="s">
        <v>349</v>
      </c>
      <c r="K35" s="18" t="n">
        <v>0</v>
      </c>
      <c r="L35" s="20" t="n">
        <v>0</v>
      </c>
      <c r="M35" s="18" t="n">
        <v>0</v>
      </c>
      <c r="N35" s="20" t="n">
        <v>0</v>
      </c>
      <c r="O35" s="18" t="n">
        <v>0</v>
      </c>
      <c r="P35" s="20" t="n">
        <v>0</v>
      </c>
      <c r="Q35" s="18" t="n">
        <v>0.16710664</v>
      </c>
      <c r="R35" s="20" t="n">
        <v>0.16036183</v>
      </c>
    </row>
    <row r="36" spans="1:18">
      <c r="A36" s="15" t="s">
        <v>378</v>
      </c>
      <c r="B36" s="17" t="n">
        <v>3404</v>
      </c>
      <c r="C36" s="18">
        <f>(2974.0/B36*100)</f>
        <v/>
      </c>
      <c r="D36" s="19" t="n">
        <v>430</v>
      </c>
      <c r="E36" s="18" t="n">
        <v>30.64911256</v>
      </c>
      <c r="F36" s="20" t="n">
        <v>2.60348878</v>
      </c>
      <c r="G36" s="18" t="n">
        <v>68.64931764000001</v>
      </c>
      <c r="H36" s="20" t="n">
        <v>2.57864406</v>
      </c>
      <c r="I36" s="18" t="s">
        <v>349</v>
      </c>
      <c r="J36" s="20" t="s">
        <v>349</v>
      </c>
      <c r="K36" s="18" t="n">
        <v>0.13822218</v>
      </c>
      <c r="L36" s="20" t="n">
        <v>0.12806361</v>
      </c>
      <c r="M36" s="18" t="n">
        <v>0</v>
      </c>
      <c r="N36" s="20" t="n">
        <v>0</v>
      </c>
      <c r="O36" s="18" t="n">
        <v>0</v>
      </c>
      <c r="P36" s="20" t="n">
        <v>0</v>
      </c>
      <c r="Q36" s="18" t="n">
        <v>0.56334762</v>
      </c>
      <c r="R36" s="20" t="n">
        <v>0.39567835</v>
      </c>
    </row>
    <row r="37" spans="1:18">
      <c r="A37" s="15" t="s">
        <v>379</v>
      </c>
      <c r="B37" s="17" t="n">
        <v>2731</v>
      </c>
      <c r="C37" s="18">
        <f>(2405.0/B37*100)</f>
        <v/>
      </c>
      <c r="D37" s="19" t="n">
        <v>326</v>
      </c>
      <c r="E37" s="18" t="n">
        <v>31.79166463</v>
      </c>
      <c r="F37" s="20" t="n">
        <v>2.4505366</v>
      </c>
      <c r="G37" s="18" t="n">
        <v>67.24514172000001</v>
      </c>
      <c r="H37" s="20" t="n">
        <v>2.38048497</v>
      </c>
      <c r="I37" s="18" t="s">
        <v>349</v>
      </c>
      <c r="J37" s="20" t="s">
        <v>349</v>
      </c>
      <c r="K37" s="18" t="n">
        <v>0.35978631</v>
      </c>
      <c r="L37" s="20" t="n">
        <v>0.3458571</v>
      </c>
      <c r="M37" s="18" t="n">
        <v>0</v>
      </c>
      <c r="N37" s="20" t="n">
        <v>0</v>
      </c>
      <c r="O37" s="18" t="n">
        <v>0</v>
      </c>
      <c r="P37" s="20" t="n">
        <v>0</v>
      </c>
      <c r="Q37" s="18" t="n">
        <v>0.60340735</v>
      </c>
      <c r="R37" s="20" t="n">
        <v>0.42226603</v>
      </c>
    </row>
    <row r="38" spans="1:18">
      <c r="A38" s="15" t="s">
        <v>380</v>
      </c>
      <c r="B38" s="17" t="n">
        <v>2807</v>
      </c>
      <c r="C38" s="18">
        <f>(2330.0/B38*100)</f>
        <v/>
      </c>
      <c r="D38" s="19" t="n">
        <v>477</v>
      </c>
      <c r="E38" s="18" t="n">
        <v>35.06234113</v>
      </c>
      <c r="F38" s="20" t="n">
        <v>2.6207679</v>
      </c>
      <c r="G38" s="18" t="n">
        <v>64.24719274</v>
      </c>
      <c r="H38" s="20" t="n">
        <v>2.61969089</v>
      </c>
      <c r="I38" s="18" t="s">
        <v>349</v>
      </c>
      <c r="J38" s="20" t="s">
        <v>349</v>
      </c>
      <c r="K38" s="18" t="n">
        <v>0</v>
      </c>
      <c r="L38" s="20" t="n">
        <v>0</v>
      </c>
      <c r="M38" s="18" t="n">
        <v>0</v>
      </c>
      <c r="N38" s="20" t="n">
        <v>0</v>
      </c>
      <c r="O38" s="18" t="n">
        <v>0</v>
      </c>
      <c r="P38" s="20" t="n">
        <v>0</v>
      </c>
      <c r="Q38" s="18" t="n">
        <v>0.69046613</v>
      </c>
      <c r="R38" s="20" t="n">
        <v>0.41826604</v>
      </c>
    </row>
    <row r="39" spans="1:18">
      <c r="A39" s="15" t="s">
        <v>381</v>
      </c>
      <c r="B39" s="17" t="n">
        <v>2938</v>
      </c>
      <c r="C39" s="18">
        <f>(2568.0/B39*100)</f>
        <v/>
      </c>
      <c r="D39" s="19" t="n">
        <v>370</v>
      </c>
      <c r="E39" s="18" t="n">
        <v>40.95158806</v>
      </c>
      <c r="F39" s="20" t="n">
        <v>2.68081787</v>
      </c>
      <c r="G39" s="18" t="n">
        <v>58.47711366</v>
      </c>
      <c r="H39" s="20" t="n">
        <v>2.64377522</v>
      </c>
      <c r="I39" s="18" t="s">
        <v>349</v>
      </c>
      <c r="J39" s="20" t="s">
        <v>349</v>
      </c>
      <c r="K39" s="18" t="n">
        <v>0</v>
      </c>
      <c r="L39" s="20" t="n">
        <v>0</v>
      </c>
      <c r="M39" s="18" t="n">
        <v>0</v>
      </c>
      <c r="N39" s="20" t="n">
        <v>0</v>
      </c>
      <c r="O39" s="18" t="n">
        <v>0</v>
      </c>
      <c r="P39" s="20" t="n">
        <v>0</v>
      </c>
      <c r="Q39" s="18" t="n">
        <v>0.57129828</v>
      </c>
      <c r="R39" s="20" t="n">
        <v>0.45597748</v>
      </c>
    </row>
    <row r="40" spans="1:18">
      <c r="A40" s="15" t="s">
        <v>382</v>
      </c>
      <c r="B40" s="17" t="n">
        <v>6922</v>
      </c>
      <c r="C40" s="18">
        <f>(6056.0/B40*100)</f>
        <v/>
      </c>
      <c r="D40" s="19" t="n">
        <v>866</v>
      </c>
      <c r="E40" s="18" t="n">
        <v>39.4048073</v>
      </c>
      <c r="F40" s="20" t="n">
        <v>2.1072875</v>
      </c>
      <c r="G40" s="18" t="n">
        <v>59.59050021</v>
      </c>
      <c r="H40" s="20" t="n">
        <v>2.22764928</v>
      </c>
      <c r="I40" s="18" t="s">
        <v>349</v>
      </c>
      <c r="J40" s="20" t="s">
        <v>349</v>
      </c>
      <c r="K40" s="18" t="n">
        <v>0.01308878</v>
      </c>
      <c r="L40" s="20" t="n">
        <v>0.01316609</v>
      </c>
      <c r="M40" s="18" t="n">
        <v>0</v>
      </c>
      <c r="N40" s="20" t="n">
        <v>0</v>
      </c>
      <c r="O40" s="18" t="n">
        <v>0</v>
      </c>
      <c r="P40" s="20" t="n">
        <v>0</v>
      </c>
      <c r="Q40" s="18" t="n">
        <v>0.99160371</v>
      </c>
      <c r="R40" s="20" t="n">
        <v>0.57578398</v>
      </c>
    </row>
    <row r="41" spans="1:18">
      <c r="A41" s="15" t="s">
        <v>383</v>
      </c>
      <c r="B41" s="17" t="n">
        <v>2854</v>
      </c>
      <c r="C41" s="18">
        <f>(2500.0/B41*100)</f>
        <v/>
      </c>
      <c r="D41" s="19" t="n">
        <v>354</v>
      </c>
      <c r="E41" s="18" t="n">
        <v>41.35128429</v>
      </c>
      <c r="F41" s="20" t="n">
        <v>2.46370419</v>
      </c>
      <c r="G41" s="18" t="n">
        <v>58.2054205</v>
      </c>
      <c r="H41" s="20" t="n">
        <v>2.47629056</v>
      </c>
      <c r="I41" s="18" t="s">
        <v>349</v>
      </c>
      <c r="J41" s="20" t="s">
        <v>349</v>
      </c>
      <c r="K41" s="18" t="n">
        <v>0</v>
      </c>
      <c r="L41" s="20" t="n">
        <v>0</v>
      </c>
      <c r="M41" s="18" t="n">
        <v>0</v>
      </c>
      <c r="N41" s="20" t="n">
        <v>0</v>
      </c>
      <c r="O41" s="18" t="n">
        <v>0</v>
      </c>
      <c r="P41" s="20" t="n">
        <v>0</v>
      </c>
      <c r="Q41" s="18" t="n">
        <v>0.44329521</v>
      </c>
      <c r="R41" s="20" t="n">
        <v>0.42045141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(10662.0/B46*100)</f>
        <v/>
      </c>
      <c r="D46" s="19" t="n">
        <v>1411</v>
      </c>
      <c r="E46" s="18" t="n">
        <v>52.05106119</v>
      </c>
      <c r="F46" s="20" t="n">
        <v>1.82003594</v>
      </c>
      <c r="G46" s="18" t="n">
        <v>46.85461398</v>
      </c>
      <c r="H46" s="20" t="n">
        <v>1.82600746</v>
      </c>
      <c r="I46" s="18" t="s">
        <v>349</v>
      </c>
      <c r="J46" s="20" t="s">
        <v>349</v>
      </c>
      <c r="K46" s="18" t="n">
        <v>0.2744257</v>
      </c>
      <c r="L46" s="20" t="n">
        <v>0.19246922</v>
      </c>
      <c r="M46" s="18" t="n">
        <v>0</v>
      </c>
      <c r="N46" s="20" t="n">
        <v>0</v>
      </c>
      <c r="O46" s="18" t="n">
        <v>0</v>
      </c>
      <c r="P46" s="20" t="n">
        <v>0</v>
      </c>
      <c r="Q46" s="18" t="n">
        <v>0.81989914</v>
      </c>
      <c r="R46" s="20" t="n">
        <v>0.2971668</v>
      </c>
    </row>
    <row r="47" spans="1:18">
      <c r="A47" s="15" t="s">
        <v>389</v>
      </c>
      <c r="B47" s="17" t="n">
        <v>2823</v>
      </c>
      <c r="C47" s="18">
        <f>(2475.0/B47*100)</f>
        <v/>
      </c>
      <c r="D47" s="19" t="n">
        <v>348</v>
      </c>
      <c r="E47" s="18" t="n">
        <v>25.65250691</v>
      </c>
      <c r="F47" s="20" t="n">
        <v>2.39690387</v>
      </c>
      <c r="G47" s="18" t="n">
        <v>73.19384751</v>
      </c>
      <c r="H47" s="20" t="n">
        <v>2.46945197</v>
      </c>
      <c r="I47" s="18" t="s">
        <v>349</v>
      </c>
      <c r="J47" s="20" t="s">
        <v>349</v>
      </c>
      <c r="K47" s="18" t="n">
        <v>0</v>
      </c>
      <c r="L47" s="20" t="n">
        <v>0</v>
      </c>
      <c r="M47" s="18" t="n">
        <v>0</v>
      </c>
      <c r="N47" s="20" t="n">
        <v>0</v>
      </c>
      <c r="O47" s="18" t="n">
        <v>0</v>
      </c>
      <c r="P47" s="20" t="n">
        <v>0</v>
      </c>
      <c r="Q47" s="18" t="n">
        <v>1.15364558</v>
      </c>
      <c r="R47" s="20" t="n">
        <v>0.5048605</v>
      </c>
    </row>
    <row r="48" spans="1:18">
      <c r="A48" s="15" t="s">
        <v>390</v>
      </c>
      <c r="B48" s="17" t="n">
        <v>4682</v>
      </c>
      <c r="C48" s="18">
        <f>(4114.0/B48*100)</f>
        <v/>
      </c>
      <c r="D48" s="19" t="n">
        <v>568</v>
      </c>
      <c r="E48" s="18" t="n">
        <v>37.21051614</v>
      </c>
      <c r="F48" s="20" t="n">
        <v>2.46908441</v>
      </c>
      <c r="G48" s="18" t="n">
        <v>62.57837964</v>
      </c>
      <c r="H48" s="20" t="n">
        <v>2.48031593</v>
      </c>
      <c r="I48" s="18" t="s">
        <v>349</v>
      </c>
      <c r="J48" s="20" t="s">
        <v>349</v>
      </c>
      <c r="K48" s="18" t="n">
        <v>0</v>
      </c>
      <c r="L48" s="20" t="n">
        <v>0</v>
      </c>
      <c r="M48" s="18" t="n">
        <v>0</v>
      </c>
      <c r="N48" s="20" t="n">
        <v>0</v>
      </c>
      <c r="O48" s="18" t="n">
        <v>0</v>
      </c>
      <c r="P48" s="20" t="n">
        <v>0</v>
      </c>
      <c r="Q48" s="18" t="n">
        <v>0.21110422</v>
      </c>
      <c r="R48" s="20" t="n">
        <v>0.21325671</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(5437.0/B50*100)</f>
        <v/>
      </c>
      <c r="D50" s="19" t="n">
        <v>721</v>
      </c>
      <c r="E50" s="18" t="n">
        <v>51.94472779</v>
      </c>
      <c r="F50" s="20" t="n">
        <v>2.38170589</v>
      </c>
      <c r="G50" s="18" t="n">
        <v>47.48744515</v>
      </c>
      <c r="H50" s="20" t="n">
        <v>2.34380802</v>
      </c>
      <c r="I50" s="18" t="s">
        <v>349</v>
      </c>
      <c r="J50" s="20" t="s">
        <v>349</v>
      </c>
      <c r="K50" s="18" t="n">
        <v>0.51242316</v>
      </c>
      <c r="L50" s="20" t="n">
        <v>0.5134123900000001</v>
      </c>
      <c r="M50" s="18" t="n">
        <v>0</v>
      </c>
      <c r="N50" s="20" t="n">
        <v>0</v>
      </c>
      <c r="O50" s="18" t="n">
        <v>0</v>
      </c>
      <c r="P50" s="20" t="n">
        <v>0</v>
      </c>
      <c r="Q50" s="18" t="n">
        <v>0.0554039</v>
      </c>
      <c r="R50" s="20" t="n">
        <v>0.05014537</v>
      </c>
    </row>
    <row r="51" spans="1:18">
      <c r="A51" s="15" t="s">
        <v>393</v>
      </c>
      <c r="B51" s="17" t="n">
        <v>3494</v>
      </c>
      <c r="C51" s="18">
        <f>(3132.0/B51*100)</f>
        <v/>
      </c>
      <c r="D51" s="19" t="n">
        <v>362</v>
      </c>
      <c r="E51" s="18" t="n">
        <v>49.89846698</v>
      </c>
      <c r="F51" s="20" t="n">
        <v>3.16268364</v>
      </c>
      <c r="G51" s="18" t="n">
        <v>49.65790524</v>
      </c>
      <c r="H51" s="20" t="n">
        <v>3.12674494</v>
      </c>
      <c r="I51" s="18" t="s">
        <v>349</v>
      </c>
      <c r="J51" s="20" t="s">
        <v>349</v>
      </c>
      <c r="K51" s="18" t="n">
        <v>0</v>
      </c>
      <c r="L51" s="20" t="n">
        <v>0</v>
      </c>
      <c r="M51" s="18" t="n">
        <v>0</v>
      </c>
      <c r="N51" s="20" t="n">
        <v>0</v>
      </c>
      <c r="O51" s="18" t="n">
        <v>0</v>
      </c>
      <c r="P51" s="20" t="n">
        <v>0</v>
      </c>
      <c r="Q51" s="18" t="n">
        <v>0.44362778</v>
      </c>
      <c r="R51" s="20" t="n">
        <v>0.32272603</v>
      </c>
    </row>
    <row r="52" spans="1:18">
      <c r="A52" s="15" t="s">
        <v>394</v>
      </c>
      <c r="B52" s="17" t="n">
        <v>3013</v>
      </c>
      <c r="C52" s="18">
        <f>(2645.0/B52*100)</f>
        <v/>
      </c>
      <c r="D52" s="19" t="n">
        <v>368</v>
      </c>
      <c r="E52" s="18" t="n">
        <v>37.86199787</v>
      </c>
      <c r="F52" s="20" t="n">
        <v>2.53295664</v>
      </c>
      <c r="G52" s="18" t="n">
        <v>61.45809737</v>
      </c>
      <c r="H52" s="20" t="n">
        <v>2.51256835</v>
      </c>
      <c r="I52" s="18" t="s">
        <v>349</v>
      </c>
      <c r="J52" s="20" t="s">
        <v>349</v>
      </c>
      <c r="K52" s="18" t="n">
        <v>0</v>
      </c>
      <c r="L52" s="20" t="n">
        <v>0</v>
      </c>
      <c r="M52" s="18" t="n">
        <v>0</v>
      </c>
      <c r="N52" s="20" t="n">
        <v>0</v>
      </c>
      <c r="O52" s="18" t="n">
        <v>0</v>
      </c>
      <c r="P52" s="20" t="n">
        <v>0</v>
      </c>
      <c r="Q52" s="18" t="n">
        <v>0.67990476</v>
      </c>
      <c r="R52" s="20" t="n">
        <v>0.48679322</v>
      </c>
    </row>
    <row r="53" spans="1:18">
      <c r="A53" s="15" t="s">
        <v>395</v>
      </c>
      <c r="B53" s="17" t="n">
        <v>2760</v>
      </c>
      <c r="C53" s="18">
        <f>(2440.0/B53*100)</f>
        <v/>
      </c>
      <c r="D53" s="19" t="n">
        <v>320</v>
      </c>
      <c r="E53" s="18" t="n">
        <v>44.63889843</v>
      </c>
      <c r="F53" s="20" t="n">
        <v>2.8447158</v>
      </c>
      <c r="G53" s="18" t="n">
        <v>54.32136633</v>
      </c>
      <c r="H53" s="20" t="n">
        <v>2.77997708</v>
      </c>
      <c r="I53" s="18" t="s">
        <v>349</v>
      </c>
      <c r="J53" s="20" t="s">
        <v>349</v>
      </c>
      <c r="K53" s="18" t="n">
        <v>0.21861899</v>
      </c>
      <c r="L53" s="20" t="n">
        <v>0.21166024</v>
      </c>
      <c r="M53" s="18" t="n">
        <v>0</v>
      </c>
      <c r="N53" s="20" t="n">
        <v>0</v>
      </c>
      <c r="O53" s="18" t="n">
        <v>0</v>
      </c>
      <c r="P53" s="20" t="n">
        <v>0</v>
      </c>
      <c r="Q53" s="18" t="n">
        <v>0.82111625</v>
      </c>
      <c r="R53" s="20" t="n">
        <v>0.57728561</v>
      </c>
    </row>
    <row r="54" spans="1:18">
      <c r="A54" s="15" t="s">
        <v>396</v>
      </c>
      <c r="B54" s="17" t="n">
        <v>2474</v>
      </c>
      <c r="C54" s="18">
        <f>(2055.0/B54*100)</f>
        <v/>
      </c>
      <c r="D54" s="19" t="n">
        <v>419</v>
      </c>
      <c r="E54" s="18" t="n">
        <v>53.08410781</v>
      </c>
      <c r="F54" s="20" t="n">
        <v>2.28091714</v>
      </c>
      <c r="G54" s="18" t="n">
        <v>42.99277492</v>
      </c>
      <c r="H54" s="20" t="n">
        <v>2.49738851</v>
      </c>
      <c r="I54" s="18" t="s">
        <v>349</v>
      </c>
      <c r="J54" s="20" t="s">
        <v>349</v>
      </c>
      <c r="K54" s="18" t="n">
        <v>1.45736489</v>
      </c>
      <c r="L54" s="20" t="n">
        <v>0.5615262</v>
      </c>
      <c r="M54" s="18" t="n">
        <v>0</v>
      </c>
      <c r="N54" s="20" t="n">
        <v>0</v>
      </c>
      <c r="O54" s="18" t="n">
        <v>0</v>
      </c>
      <c r="P54" s="20" t="n">
        <v>0</v>
      </c>
      <c r="Q54" s="18" t="n">
        <v>2.46575237</v>
      </c>
      <c r="R54" s="20" t="n">
        <v>0.83394691</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(2356.0/B56*100)</f>
        <v/>
      </c>
      <c r="D56" s="19" t="n">
        <v>319</v>
      </c>
      <c r="E56" s="18" t="n">
        <v>24.27125565</v>
      </c>
      <c r="F56" s="20" t="n">
        <v>2.35763636</v>
      </c>
      <c r="G56" s="18" t="n">
        <v>75.72874435</v>
      </c>
      <c r="H56" s="20" t="n">
        <v>2.35763636</v>
      </c>
      <c r="I56" s="18" t="s">
        <v>349</v>
      </c>
      <c r="J56" s="20" t="s">
        <v>349</v>
      </c>
      <c r="K56" s="18" t="n">
        <v>0</v>
      </c>
      <c r="L56" s="20" t="n">
        <v>0</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(2800.0/B61*100)</f>
        <v/>
      </c>
      <c r="D61" s="19" t="n">
        <v>401</v>
      </c>
      <c r="E61" s="18" t="n">
        <v>39.16822648</v>
      </c>
      <c r="F61" s="20" t="n">
        <v>2.85491827</v>
      </c>
      <c r="G61" s="18" t="n">
        <v>60.83177352</v>
      </c>
      <c r="H61" s="20" t="n">
        <v>2.85491827</v>
      </c>
      <c r="I61" s="18" t="s">
        <v>349</v>
      </c>
      <c r="J61" s="20" t="s">
        <v>349</v>
      </c>
      <c r="K61" s="18" t="n">
        <v>0</v>
      </c>
      <c r="L61" s="20" t="n">
        <v>0</v>
      </c>
      <c r="M61" s="18" t="n">
        <v>0</v>
      </c>
      <c r="N61" s="20" t="n">
        <v>0</v>
      </c>
      <c r="O61" s="18" t="n">
        <v>0</v>
      </c>
      <c r="P61" s="20" t="n">
        <v>0</v>
      </c>
      <c r="Q61" s="18" t="n">
        <v>0</v>
      </c>
      <c r="R61" s="20" t="n">
        <v>0</v>
      </c>
    </row>
    <row r="62" spans="1:18">
      <c r="A62" s="15" t="s">
        <v>404</v>
      </c>
      <c r="B62" s="17" t="n">
        <v>2230</v>
      </c>
      <c r="C62" s="18">
        <f>(1969.0/B62*100)</f>
        <v/>
      </c>
      <c r="D62" s="19" t="n">
        <v>261</v>
      </c>
      <c r="E62" s="18" t="n">
        <v>23.39268733</v>
      </c>
      <c r="F62" s="20" t="n">
        <v>2.73972983</v>
      </c>
      <c r="G62" s="18" t="n">
        <v>76.60731267</v>
      </c>
      <c r="H62" s="20" t="n">
        <v>2.73972983</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(2429.0/B66*100)</f>
        <v/>
      </c>
      <c r="D66" s="19" t="n">
        <v>342</v>
      </c>
      <c r="E66" s="18" t="n">
        <v>40.96190634</v>
      </c>
      <c r="F66" s="20" t="n">
        <v>3.02631765</v>
      </c>
      <c r="G66" s="18" t="n">
        <v>57.1141794</v>
      </c>
      <c r="H66" s="20" t="n">
        <v>3.05854505</v>
      </c>
      <c r="I66" s="18" t="s">
        <v>349</v>
      </c>
      <c r="J66" s="20" t="s">
        <v>349</v>
      </c>
      <c r="K66" s="18" t="n">
        <v>0.24657968</v>
      </c>
      <c r="L66" s="20" t="n">
        <v>0.24653258</v>
      </c>
      <c r="M66" s="18" t="n">
        <v>0</v>
      </c>
      <c r="N66" s="20" t="n">
        <v>0</v>
      </c>
      <c r="O66" s="18" t="n">
        <v>0</v>
      </c>
      <c r="P66" s="20" t="n">
        <v>0</v>
      </c>
      <c r="Q66" s="18" t="n">
        <v>1.67733458</v>
      </c>
      <c r="R66" s="20" t="n">
        <v>0.69997443</v>
      </c>
    </row>
    <row r="67" spans="1:18">
      <c r="A67" s="15" t="s">
        <v>409</v>
      </c>
      <c r="B67" s="17" t="n">
        <v>3460</v>
      </c>
      <c r="C67" s="18">
        <f>(3028.0/B67*100)</f>
        <v/>
      </c>
      <c r="D67" s="19" t="n">
        <v>432</v>
      </c>
      <c r="E67" s="18" t="n">
        <v>55.98180075</v>
      </c>
      <c r="F67" s="20" t="n">
        <v>2.45376757</v>
      </c>
      <c r="G67" s="18" t="n">
        <v>42.60486594</v>
      </c>
      <c r="H67" s="20" t="n">
        <v>2.43536293</v>
      </c>
      <c r="I67" s="18" t="s">
        <v>349</v>
      </c>
      <c r="J67" s="20" t="s">
        <v>349</v>
      </c>
      <c r="K67" s="18" t="n">
        <v>0</v>
      </c>
      <c r="L67" s="20" t="n">
        <v>0</v>
      </c>
      <c r="M67" s="18" t="n">
        <v>0</v>
      </c>
      <c r="N67" s="20" t="n">
        <v>0</v>
      </c>
      <c r="O67" s="18" t="n">
        <v>0</v>
      </c>
      <c r="P67" s="20" t="n">
        <v>0</v>
      </c>
      <c r="Q67" s="18" t="n">
        <v>1.41333331</v>
      </c>
      <c r="R67" s="20" t="n">
        <v>0.62211827</v>
      </c>
    </row>
    <row r="68" spans="1:18">
      <c r="A68" s="15" t="s">
        <v>410</v>
      </c>
      <c r="B68" s="17" t="n">
        <v>6034</v>
      </c>
      <c r="C68" s="18">
        <f>(5046.0/B68*100)</f>
        <v/>
      </c>
      <c r="D68" s="19" t="n">
        <v>988</v>
      </c>
      <c r="E68" s="18" t="n">
        <v>57.22093995</v>
      </c>
      <c r="F68" s="20" t="n">
        <v>1.81370185</v>
      </c>
      <c r="G68" s="18" t="n">
        <v>41.31769708</v>
      </c>
      <c r="H68" s="20" t="n">
        <v>1.74091455</v>
      </c>
      <c r="I68" s="18" t="s">
        <v>349</v>
      </c>
      <c r="J68" s="20" t="s">
        <v>349</v>
      </c>
      <c r="K68" s="18" t="n">
        <v>0.70564141</v>
      </c>
      <c r="L68" s="20" t="n">
        <v>0.30221583</v>
      </c>
      <c r="M68" s="18" t="n">
        <v>0</v>
      </c>
      <c r="N68" s="20" t="n">
        <v>0</v>
      </c>
      <c r="O68" s="18" t="n">
        <v>0</v>
      </c>
      <c r="P68" s="20" t="n">
        <v>0</v>
      </c>
      <c r="Q68" s="18" t="n">
        <v>0.75572156</v>
      </c>
      <c r="R68" s="20" t="n">
        <v>0.27646607</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(2732.0/B70*100)</f>
        <v/>
      </c>
      <c r="D70" s="19" t="n">
        <v>375</v>
      </c>
      <c r="E70" s="18" t="n">
        <v>40.83983546</v>
      </c>
      <c r="F70" s="20" t="n">
        <v>2.73142369</v>
      </c>
      <c r="G70" s="18" t="n">
        <v>58.83649675</v>
      </c>
      <c r="H70" s="20" t="n">
        <v>2.81085942</v>
      </c>
      <c r="I70" s="18" t="s">
        <v>349</v>
      </c>
      <c r="J70" s="20" t="s">
        <v>349</v>
      </c>
      <c r="K70" s="18" t="n">
        <v>0.32366779</v>
      </c>
      <c r="L70" s="20" t="n">
        <v>0.22856999</v>
      </c>
      <c r="M70" s="18" t="n">
        <v>0</v>
      </c>
      <c r="N70" s="20" t="n">
        <v>0</v>
      </c>
      <c r="O70" s="18" t="n">
        <v>0</v>
      </c>
      <c r="P70" s="20" t="n">
        <v>0</v>
      </c>
      <c r="Q70" s="18" t="n">
        <v>0</v>
      </c>
      <c r="R70" s="20" t="n">
        <v>0</v>
      </c>
    </row>
    <row r="71" spans="1:18">
      <c r="A71" s="15" t="s">
        <v>413</v>
      </c>
      <c r="B71" s="17" t="n">
        <v>2973</v>
      </c>
      <c r="C71" s="18">
        <f>(2593.0/B71*100)</f>
        <v/>
      </c>
      <c r="D71" s="19" t="n">
        <v>380</v>
      </c>
      <c r="E71" s="18" t="n">
        <v>25.60169784</v>
      </c>
      <c r="F71" s="20" t="n">
        <v>2.16040124</v>
      </c>
      <c r="G71" s="18" t="n">
        <v>74.05991206</v>
      </c>
      <c r="H71" s="20" t="n">
        <v>2.17102107</v>
      </c>
      <c r="I71" s="18" t="s">
        <v>349</v>
      </c>
      <c r="J71" s="20" t="s">
        <v>349</v>
      </c>
      <c r="K71" s="18" t="n">
        <v>0</v>
      </c>
      <c r="L71" s="20" t="n">
        <v>0</v>
      </c>
      <c r="M71" s="18" t="n">
        <v>0</v>
      </c>
      <c r="N71" s="20" t="n">
        <v>0</v>
      </c>
      <c r="O71" s="18" t="n">
        <v>0</v>
      </c>
      <c r="P71" s="20" t="n">
        <v>0</v>
      </c>
      <c r="Q71" s="18" t="n">
        <v>0.33839011</v>
      </c>
      <c r="R71" s="20" t="n">
        <v>0.2416479</v>
      </c>
    </row>
    <row r="72" spans="1:18">
      <c r="A72" s="15" t="s">
        <v>414</v>
      </c>
      <c r="B72" s="17" t="n">
        <v>3819</v>
      </c>
      <c r="C72" s="18">
        <f>(3341.0/B72*100)</f>
        <v/>
      </c>
      <c r="D72" s="19" t="n">
        <v>478</v>
      </c>
      <c r="E72" s="18" t="n">
        <v>25.27561736</v>
      </c>
      <c r="F72" s="20" t="n">
        <v>2.15924436</v>
      </c>
      <c r="G72" s="18" t="n">
        <v>74.72438264</v>
      </c>
      <c r="H72" s="20" t="n">
        <v>2.15924436</v>
      </c>
      <c r="I72" s="18" t="s">
        <v>349</v>
      </c>
      <c r="J72" s="20" t="s">
        <v>349</v>
      </c>
      <c r="K72" s="18" t="n">
        <v>0</v>
      </c>
      <c r="L72" s="20" t="n">
        <v>0</v>
      </c>
      <c r="M72" s="18" t="n">
        <v>0</v>
      </c>
      <c r="N72" s="20" t="n">
        <v>0</v>
      </c>
      <c r="O72" s="18" t="n">
        <v>0</v>
      </c>
      <c r="P72" s="20" t="n">
        <v>0</v>
      </c>
      <c r="Q72" s="18" t="n">
        <v>0</v>
      </c>
      <c r="R72" s="20" t="n">
        <v>0</v>
      </c>
    </row>
    <row r="73" spans="1:18">
      <c r="A73" s="15" t="s">
        <v>415</v>
      </c>
      <c r="B73" s="17" t="n">
        <v>4652</v>
      </c>
      <c r="C73" s="18">
        <f>(4090.0/B73*100)</f>
        <v/>
      </c>
      <c r="D73" s="19" t="n">
        <v>562</v>
      </c>
      <c r="E73" s="18" t="n">
        <v>47.29069908</v>
      </c>
      <c r="F73" s="20" t="n">
        <v>2.69332087</v>
      </c>
      <c r="G73" s="18" t="n">
        <v>52.46565426</v>
      </c>
      <c r="H73" s="20" t="n">
        <v>2.72303468</v>
      </c>
      <c r="I73" s="18" t="s">
        <v>349</v>
      </c>
      <c r="J73" s="20" t="s">
        <v>349</v>
      </c>
      <c r="K73" s="18" t="n">
        <v>0</v>
      </c>
      <c r="L73" s="20" t="n">
        <v>0</v>
      </c>
      <c r="M73" s="18" t="n">
        <v>0</v>
      </c>
      <c r="N73" s="20" t="n">
        <v>0</v>
      </c>
      <c r="O73" s="18" t="n">
        <v>0</v>
      </c>
      <c r="P73" s="20" t="n">
        <v>0</v>
      </c>
      <c r="Q73" s="18" t="n">
        <v>0.24364666</v>
      </c>
      <c r="R73" s="20" t="n">
        <v>0.24464368</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(2620.0/B75*100)</f>
        <v/>
      </c>
      <c r="D75" s="19" t="n">
        <v>349</v>
      </c>
      <c r="E75" s="18" t="n">
        <v>54.14288838</v>
      </c>
      <c r="F75" s="20" t="n">
        <v>2.34230787</v>
      </c>
      <c r="G75" s="18" t="n">
        <v>43.2734804</v>
      </c>
      <c r="H75" s="20" t="n">
        <v>2.48620599</v>
      </c>
      <c r="I75" s="18" t="s">
        <v>349</v>
      </c>
      <c r="J75" s="20" t="s">
        <v>349</v>
      </c>
      <c r="K75" s="18" t="n">
        <v>1.8020144</v>
      </c>
      <c r="L75" s="20" t="n">
        <v>0.70159457</v>
      </c>
      <c r="M75" s="18" t="n">
        <v>0</v>
      </c>
      <c r="N75" s="20" t="n">
        <v>0</v>
      </c>
      <c r="O75" s="18" t="n">
        <v>0</v>
      </c>
      <c r="P75" s="20" t="n">
        <v>0</v>
      </c>
      <c r="Q75" s="18" t="n">
        <v>0.78161683</v>
      </c>
      <c r="R75" s="20" t="n">
        <v>0.48054342</v>
      </c>
    </row>
    <row r="76" spans="1:18">
      <c r="A76" s="15" t="s">
        <v>418</v>
      </c>
      <c r="B76" s="17" t="n">
        <v>7115</v>
      </c>
      <c r="C76" s="18">
        <f>(6237.0/B76*100)</f>
        <v/>
      </c>
      <c r="D76" s="19" t="n">
        <v>878</v>
      </c>
      <c r="E76" s="18" t="n">
        <v>49.01011102</v>
      </c>
      <c r="F76" s="20" t="n">
        <v>2.36701293</v>
      </c>
      <c r="G76" s="18" t="n">
        <v>50.32541693</v>
      </c>
      <c r="H76" s="20" t="n">
        <v>2.38430184</v>
      </c>
      <c r="I76" s="18" t="s">
        <v>349</v>
      </c>
      <c r="J76" s="20" t="s">
        <v>349</v>
      </c>
      <c r="K76" s="18" t="n">
        <v>0.48802136</v>
      </c>
      <c r="L76" s="20" t="n">
        <v>0.30674152</v>
      </c>
      <c r="M76" s="18" t="n">
        <v>0</v>
      </c>
      <c r="N76" s="20" t="n">
        <v>0</v>
      </c>
      <c r="O76" s="18" t="n">
        <v>0</v>
      </c>
      <c r="P76" s="20" t="n">
        <v>0</v>
      </c>
      <c r="Q76" s="18" t="n">
        <v>0.17645069</v>
      </c>
      <c r="R76" s="20" t="n">
        <v>0.12928003</v>
      </c>
    </row>
    <row r="77" spans="1:18">
      <c r="A77" s="15" t="s">
        <v>419</v>
      </c>
      <c r="B77" s="17" t="n">
        <v>3154</v>
      </c>
      <c r="C77" s="18">
        <f>(2775.0/B77*100)</f>
        <v/>
      </c>
      <c r="D77" s="19" t="n">
        <v>379</v>
      </c>
      <c r="E77" s="18" t="n">
        <v>50.92431983</v>
      </c>
      <c r="F77" s="20" t="n">
        <v>2.85959917</v>
      </c>
      <c r="G77" s="18" t="n">
        <v>48.41099984</v>
      </c>
      <c r="H77" s="20" t="n">
        <v>2.84676959</v>
      </c>
      <c r="I77" s="18" t="s">
        <v>349</v>
      </c>
      <c r="J77" s="20" t="s">
        <v>349</v>
      </c>
      <c r="K77" s="18" t="n">
        <v>0</v>
      </c>
      <c r="L77" s="20" t="n">
        <v>0</v>
      </c>
      <c r="M77" s="18" t="n">
        <v>0</v>
      </c>
      <c r="N77" s="20" t="n">
        <v>0</v>
      </c>
      <c r="O77" s="18" t="n">
        <v>0</v>
      </c>
      <c r="P77" s="20" t="n">
        <v>0</v>
      </c>
      <c r="Q77" s="18" t="n">
        <v>0.66468033</v>
      </c>
      <c r="R77" s="20" t="n">
        <v>0.47494792</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(4119.0/B81*100)</f>
        <v/>
      </c>
      <c r="D81" s="19" t="n">
        <v>579</v>
      </c>
      <c r="E81" s="18" t="n">
        <v>52.24949069</v>
      </c>
      <c r="F81" s="20" t="n">
        <v>2.22000865</v>
      </c>
      <c r="G81" s="18" t="n">
        <v>47.26993993</v>
      </c>
      <c r="H81" s="20" t="n">
        <v>2.20890822</v>
      </c>
      <c r="I81" s="18" t="s">
        <v>349</v>
      </c>
      <c r="J81" s="20" t="s">
        <v>349</v>
      </c>
      <c r="K81" s="18" t="n">
        <v>0.23222901</v>
      </c>
      <c r="L81" s="20" t="n">
        <v>0.23162311</v>
      </c>
      <c r="M81" s="18" t="n">
        <v>0</v>
      </c>
      <c r="N81" s="20" t="n">
        <v>0</v>
      </c>
      <c r="O81" s="18" t="n">
        <v>0</v>
      </c>
      <c r="P81" s="20" t="n">
        <v>0</v>
      </c>
      <c r="Q81" s="18" t="n">
        <v>0.24834037</v>
      </c>
      <c r="R81" s="20" t="n">
        <v>0.24815267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(6293.0/B7*100)</f>
        <v/>
      </c>
      <c r="D7" s="19" t="n">
        <v>870</v>
      </c>
      <c r="E7" s="18" t="n">
        <v>60.39308515</v>
      </c>
      <c r="F7" s="20" t="n">
        <v>1.8379667</v>
      </c>
      <c r="G7" s="18" t="n">
        <v>38.6095209</v>
      </c>
      <c r="H7" s="20" t="n">
        <v>1.86305397</v>
      </c>
      <c r="I7" s="18" t="s">
        <v>349</v>
      </c>
      <c r="J7" s="20" t="s">
        <v>349</v>
      </c>
      <c r="K7" s="18" t="n">
        <v>0.35217986</v>
      </c>
      <c r="L7" s="20" t="n">
        <v>0.23991575</v>
      </c>
      <c r="M7" s="18" t="n">
        <v>0</v>
      </c>
      <c r="N7" s="20" t="n">
        <v>0</v>
      </c>
      <c r="O7" s="18" t="n">
        <v>0</v>
      </c>
      <c r="P7" s="20" t="n">
        <v>0</v>
      </c>
      <c r="Q7" s="18" t="n">
        <v>0.64521409</v>
      </c>
      <c r="R7" s="20" t="n">
        <v>0.20044316</v>
      </c>
    </row>
    <row r="8" spans="1:18">
      <c r="A8" s="15" t="s">
        <v>350</v>
      </c>
      <c r="B8" s="17" t="n">
        <v>3443</v>
      </c>
      <c r="C8" s="18">
        <f>(3019.0/B8*100)</f>
        <v/>
      </c>
      <c r="D8" s="19" t="n">
        <v>424</v>
      </c>
      <c r="E8" s="18" t="n">
        <v>58.0677141</v>
      </c>
      <c r="F8" s="20" t="n">
        <v>2.47526793</v>
      </c>
      <c r="G8" s="18" t="n">
        <v>41.44756887</v>
      </c>
      <c r="H8" s="20" t="n">
        <v>2.48658355</v>
      </c>
      <c r="I8" s="18" t="s">
        <v>349</v>
      </c>
      <c r="J8" s="20" t="s">
        <v>349</v>
      </c>
      <c r="K8" s="18" t="n">
        <v>0</v>
      </c>
      <c r="L8" s="20" t="n">
        <v>0</v>
      </c>
      <c r="M8" s="18" t="n">
        <v>0</v>
      </c>
      <c r="N8" s="20" t="n">
        <v>0</v>
      </c>
      <c r="O8" s="18" t="n">
        <v>0</v>
      </c>
      <c r="P8" s="20" t="n">
        <v>0</v>
      </c>
      <c r="Q8" s="18" t="n">
        <v>0.48471703</v>
      </c>
      <c r="R8" s="20" t="n">
        <v>0.36149269</v>
      </c>
    </row>
    <row r="9" spans="1:18">
      <c r="A9" s="15" t="s">
        <v>351</v>
      </c>
      <c r="B9" s="17" t="n">
        <v>4752</v>
      </c>
      <c r="C9" s="18">
        <f>(4190.0/B9*100)</f>
        <v/>
      </c>
      <c r="D9" s="19" t="n">
        <v>562</v>
      </c>
      <c r="E9" s="18" t="n">
        <v>48.88086009</v>
      </c>
      <c r="F9" s="20" t="n">
        <v>2.73789277</v>
      </c>
      <c r="G9" s="18" t="n">
        <v>50.07214622</v>
      </c>
      <c r="H9" s="20" t="n">
        <v>2.74464184</v>
      </c>
      <c r="I9" s="18" t="s">
        <v>349</v>
      </c>
      <c r="J9" s="20" t="s">
        <v>349</v>
      </c>
      <c r="K9" s="18" t="n">
        <v>0.08322236</v>
      </c>
      <c r="L9" s="20" t="n">
        <v>0.08290198999999999</v>
      </c>
      <c r="M9" s="18" t="n">
        <v>0</v>
      </c>
      <c r="N9" s="20" t="n">
        <v>0</v>
      </c>
      <c r="O9" s="18" t="n">
        <v>0</v>
      </c>
      <c r="P9" s="20" t="n">
        <v>0</v>
      </c>
      <c r="Q9" s="18" t="n">
        <v>0.96377134</v>
      </c>
      <c r="R9" s="20" t="n">
        <v>0.4627027</v>
      </c>
    </row>
    <row r="10" spans="1:18">
      <c r="A10" s="15" t="s">
        <v>352</v>
      </c>
      <c r="B10" s="17" t="n">
        <v>10022</v>
      </c>
      <c r="C10" s="18">
        <f>(8776.0/B10*100)</f>
        <v/>
      </c>
      <c r="D10" s="19" t="n">
        <v>1246</v>
      </c>
      <c r="E10" s="18" t="n">
        <v>51.29963915</v>
      </c>
      <c r="F10" s="20" t="n">
        <v>1.69435368</v>
      </c>
      <c r="G10" s="18" t="n">
        <v>48.18422008</v>
      </c>
      <c r="H10" s="20" t="n">
        <v>1.70051567</v>
      </c>
      <c r="I10" s="18" t="s">
        <v>349</v>
      </c>
      <c r="J10" s="20" t="s">
        <v>349</v>
      </c>
      <c r="K10" s="18" t="n">
        <v>0.1232028</v>
      </c>
      <c r="L10" s="20" t="n">
        <v>0.12160408</v>
      </c>
      <c r="M10" s="18" t="n">
        <v>0</v>
      </c>
      <c r="N10" s="20" t="n">
        <v>0</v>
      </c>
      <c r="O10" s="18" t="n">
        <v>0</v>
      </c>
      <c r="P10" s="20" t="n">
        <v>0</v>
      </c>
      <c r="Q10" s="18" t="n">
        <v>0.39293796</v>
      </c>
      <c r="R10" s="20" t="n">
        <v>0.25054373</v>
      </c>
    </row>
    <row r="11" spans="1:18">
      <c r="A11" s="15" t="s">
        <v>353</v>
      </c>
      <c r="B11" s="17" t="n">
        <v>3500</v>
      </c>
      <c r="C11" s="18">
        <f>(3073.0/B11*100)</f>
        <v/>
      </c>
      <c r="D11" s="19" t="n">
        <v>427</v>
      </c>
      <c r="E11" s="18" t="n">
        <v>75.46440235999999</v>
      </c>
      <c r="F11" s="20" t="n">
        <v>2.18333406</v>
      </c>
      <c r="G11" s="18" t="n">
        <v>21.75939863</v>
      </c>
      <c r="H11" s="20" t="n">
        <v>2.18421773</v>
      </c>
      <c r="I11" s="18" t="s">
        <v>349</v>
      </c>
      <c r="J11" s="20" t="s">
        <v>349</v>
      </c>
      <c r="K11" s="18" t="n">
        <v>0</v>
      </c>
      <c r="L11" s="20" t="n">
        <v>0</v>
      </c>
      <c r="M11" s="18" t="n">
        <v>0</v>
      </c>
      <c r="N11" s="20" t="n">
        <v>0</v>
      </c>
      <c r="O11" s="18" t="n">
        <v>0</v>
      </c>
      <c r="P11" s="20" t="n">
        <v>0</v>
      </c>
      <c r="Q11" s="18" t="n">
        <v>2.77619901</v>
      </c>
      <c r="R11" s="20" t="n">
        <v>0.83926646</v>
      </c>
    </row>
    <row r="12" spans="1:18">
      <c r="A12" s="15" t="s">
        <v>354</v>
      </c>
      <c r="B12" s="17" t="n">
        <v>3422</v>
      </c>
      <c r="C12" s="18">
        <f>(3007.0/B12*100)</f>
        <v/>
      </c>
      <c r="D12" s="19" t="n">
        <v>415</v>
      </c>
      <c r="E12" s="18" t="n">
        <v>53.1643253</v>
      </c>
      <c r="F12" s="20" t="n">
        <v>3.08470382</v>
      </c>
      <c r="G12" s="18" t="n">
        <v>46.60620459</v>
      </c>
      <c r="H12" s="20" t="n">
        <v>3.09114089</v>
      </c>
      <c r="I12" s="18" t="s">
        <v>349</v>
      </c>
      <c r="J12" s="20" t="s">
        <v>349</v>
      </c>
      <c r="K12" s="18" t="n">
        <v>0</v>
      </c>
      <c r="L12" s="20" t="n">
        <v>0</v>
      </c>
      <c r="M12" s="18" t="n">
        <v>0</v>
      </c>
      <c r="N12" s="20" t="n">
        <v>0</v>
      </c>
      <c r="O12" s="18" t="n">
        <v>0</v>
      </c>
      <c r="P12" s="20" t="n">
        <v>0</v>
      </c>
      <c r="Q12" s="18" t="n">
        <v>0.22947011</v>
      </c>
      <c r="R12" s="20" t="n">
        <v>0.22192325</v>
      </c>
    </row>
    <row r="13" spans="1:18">
      <c r="A13" s="15" t="s">
        <v>355</v>
      </c>
      <c r="B13" s="17" t="n">
        <v>3602</v>
      </c>
      <c r="C13" s="18">
        <f>(3194.0/B13*100)</f>
        <v/>
      </c>
      <c r="D13" s="19" t="n">
        <v>408</v>
      </c>
      <c r="E13" s="18" t="n">
        <v>31.9742419</v>
      </c>
      <c r="F13" s="20" t="n">
        <v>2.72703506</v>
      </c>
      <c r="G13" s="18" t="n">
        <v>65.55129873</v>
      </c>
      <c r="H13" s="20" t="n">
        <v>2.95627686</v>
      </c>
      <c r="I13" s="18" t="s">
        <v>349</v>
      </c>
      <c r="J13" s="20" t="s">
        <v>349</v>
      </c>
      <c r="K13" s="18" t="n">
        <v>1.55364742</v>
      </c>
      <c r="L13" s="20" t="n">
        <v>0.96164965</v>
      </c>
      <c r="M13" s="18" t="n">
        <v>0</v>
      </c>
      <c r="N13" s="20" t="n">
        <v>0</v>
      </c>
      <c r="O13" s="18" t="n">
        <v>0</v>
      </c>
      <c r="P13" s="20" t="n">
        <v>0</v>
      </c>
      <c r="Q13" s="18" t="n">
        <v>0.92081195</v>
      </c>
      <c r="R13" s="20" t="n">
        <v>0.57213715</v>
      </c>
    </row>
    <row r="14" spans="1:18">
      <c r="A14" s="15" t="s">
        <v>356</v>
      </c>
      <c r="B14" s="17" t="n">
        <v>2788</v>
      </c>
      <c r="C14" s="18">
        <f>(2436.0/B14*100)</f>
        <v/>
      </c>
      <c r="D14" s="19" t="n">
        <v>352</v>
      </c>
      <c r="E14" s="18" t="n">
        <v>53.06429273</v>
      </c>
      <c r="F14" s="20" t="n">
        <v>2.85065558</v>
      </c>
      <c r="G14" s="18" t="n">
        <v>46.62718216</v>
      </c>
      <c r="H14" s="20" t="n">
        <v>2.88996862</v>
      </c>
      <c r="I14" s="18" t="s">
        <v>349</v>
      </c>
      <c r="J14" s="20" t="s">
        <v>349</v>
      </c>
      <c r="K14" s="18" t="n">
        <v>0</v>
      </c>
      <c r="L14" s="20" t="n">
        <v>0</v>
      </c>
      <c r="M14" s="18" t="n">
        <v>0</v>
      </c>
      <c r="N14" s="20" t="n">
        <v>0</v>
      </c>
      <c r="O14" s="18" t="n">
        <v>0</v>
      </c>
      <c r="P14" s="20" t="n">
        <v>0</v>
      </c>
      <c r="Q14" s="18" t="n">
        <v>0.30852511</v>
      </c>
      <c r="R14" s="20" t="n">
        <v>0.3073475</v>
      </c>
    </row>
    <row r="15" spans="1:18">
      <c r="A15" s="15" t="s">
        <v>357</v>
      </c>
      <c r="B15" s="17" t="n">
        <v>2863</v>
      </c>
      <c r="C15" s="18">
        <f>(2534.0/B15*100)</f>
        <v/>
      </c>
      <c r="D15" s="19" t="n">
        <v>329</v>
      </c>
      <c r="E15" s="18" t="n">
        <v>37.32284039</v>
      </c>
      <c r="F15" s="20" t="n">
        <v>3.03090016</v>
      </c>
      <c r="G15" s="18" t="n">
        <v>62.39684226</v>
      </c>
      <c r="H15" s="20" t="n">
        <v>3.05996593</v>
      </c>
      <c r="I15" s="18" t="s">
        <v>349</v>
      </c>
      <c r="J15" s="20" t="s">
        <v>349</v>
      </c>
      <c r="K15" s="18" t="n">
        <v>0</v>
      </c>
      <c r="L15" s="20" t="n">
        <v>0</v>
      </c>
      <c r="M15" s="18" t="n">
        <v>0</v>
      </c>
      <c r="N15" s="20" t="n">
        <v>0</v>
      </c>
      <c r="O15" s="18" t="n">
        <v>0</v>
      </c>
      <c r="P15" s="20" t="n">
        <v>0</v>
      </c>
      <c r="Q15" s="18" t="n">
        <v>0.28031735</v>
      </c>
      <c r="R15" s="20" t="n">
        <v>0.28056464</v>
      </c>
    </row>
    <row r="16" spans="1:18">
      <c r="A16" s="15" t="s">
        <v>358</v>
      </c>
      <c r="B16" s="17" t="n">
        <v>3111</v>
      </c>
      <c r="C16" s="18">
        <f>(2744.0/B16*100)</f>
        <v/>
      </c>
      <c r="D16" s="19" t="n">
        <v>367</v>
      </c>
      <c r="E16" s="18" t="n">
        <v>57.69223724</v>
      </c>
      <c r="F16" s="20" t="n">
        <v>2.89729607</v>
      </c>
      <c r="G16" s="18" t="n">
        <v>41.01863117</v>
      </c>
      <c r="H16" s="20" t="n">
        <v>2.93245515</v>
      </c>
      <c r="I16" s="18" t="s">
        <v>349</v>
      </c>
      <c r="J16" s="20" t="s">
        <v>349</v>
      </c>
      <c r="K16" s="18" t="n">
        <v>0</v>
      </c>
      <c r="L16" s="20" t="n">
        <v>0</v>
      </c>
      <c r="M16" s="18" t="n">
        <v>0</v>
      </c>
      <c r="N16" s="20" t="n">
        <v>0</v>
      </c>
      <c r="O16" s="18" t="n">
        <v>0</v>
      </c>
      <c r="P16" s="20" t="n">
        <v>0</v>
      </c>
      <c r="Q16" s="18" t="n">
        <v>1.28913159</v>
      </c>
      <c r="R16" s="20" t="n">
        <v>0.58450558</v>
      </c>
    </row>
    <row r="17" spans="1:18">
      <c r="A17" s="15" t="s">
        <v>359</v>
      </c>
      <c r="B17" s="17" t="n">
        <v>3197</v>
      </c>
      <c r="C17" s="18">
        <f>(2835.0/B17*100)</f>
        <v/>
      </c>
      <c r="D17" s="19" t="n">
        <v>362</v>
      </c>
      <c r="E17" s="18" t="n">
        <v>48.54226391</v>
      </c>
      <c r="F17" s="20" t="n">
        <v>2.55105451</v>
      </c>
      <c r="G17" s="18" t="n">
        <v>49.77740195</v>
      </c>
      <c r="H17" s="20" t="n">
        <v>2.37412611</v>
      </c>
      <c r="I17" s="18" t="s">
        <v>349</v>
      </c>
      <c r="J17" s="20" t="s">
        <v>349</v>
      </c>
      <c r="K17" s="18" t="n">
        <v>0</v>
      </c>
      <c r="L17" s="20" t="n">
        <v>0</v>
      </c>
      <c r="M17" s="18" t="n">
        <v>0</v>
      </c>
      <c r="N17" s="20" t="n">
        <v>0</v>
      </c>
      <c r="O17" s="18" t="n">
        <v>0</v>
      </c>
      <c r="P17" s="20" t="n">
        <v>0</v>
      </c>
      <c r="Q17" s="18" t="n">
        <v>1.68033414</v>
      </c>
      <c r="R17" s="20" t="n">
        <v>0.71419183</v>
      </c>
    </row>
    <row r="18" spans="1:18">
      <c r="A18" s="15" t="s">
        <v>360</v>
      </c>
      <c r="B18" s="17" t="n">
        <v>2706</v>
      </c>
      <c r="C18" s="18">
        <f>(2377.0/B18*100)</f>
        <v/>
      </c>
      <c r="D18" s="19" t="n">
        <v>329</v>
      </c>
      <c r="E18" s="18" t="n">
        <v>64.82873192</v>
      </c>
      <c r="F18" s="20" t="n">
        <v>2.8012644</v>
      </c>
      <c r="G18" s="18" t="n">
        <v>34.07994226</v>
      </c>
      <c r="H18" s="20" t="n">
        <v>2.8710017</v>
      </c>
      <c r="I18" s="18" t="s">
        <v>349</v>
      </c>
      <c r="J18" s="20" t="s">
        <v>349</v>
      </c>
      <c r="K18" s="18" t="n">
        <v>0</v>
      </c>
      <c r="L18" s="20" t="n">
        <v>0</v>
      </c>
      <c r="M18" s="18" t="n">
        <v>0</v>
      </c>
      <c r="N18" s="20" t="n">
        <v>0</v>
      </c>
      <c r="O18" s="18" t="n">
        <v>0</v>
      </c>
      <c r="P18" s="20" t="n">
        <v>0</v>
      </c>
      <c r="Q18" s="18" t="n">
        <v>1.09132582</v>
      </c>
      <c r="R18" s="20" t="n">
        <v>0.66549929</v>
      </c>
    </row>
    <row r="19" spans="1:18">
      <c r="A19" s="15" t="s">
        <v>361</v>
      </c>
      <c r="B19" s="17" t="n">
        <v>2850</v>
      </c>
      <c r="C19" s="18">
        <f>(2503.0/B19*100)</f>
        <v/>
      </c>
      <c r="D19" s="19" t="n">
        <v>347</v>
      </c>
      <c r="E19" s="18" t="n">
        <v>67.89560901</v>
      </c>
      <c r="F19" s="20" t="n">
        <v>2.76198327</v>
      </c>
      <c r="G19" s="18" t="n">
        <v>31.26223381</v>
      </c>
      <c r="H19" s="20" t="n">
        <v>2.73667805</v>
      </c>
      <c r="I19" s="18" t="s">
        <v>349</v>
      </c>
      <c r="J19" s="20" t="s">
        <v>349</v>
      </c>
      <c r="K19" s="18" t="n">
        <v>0</v>
      </c>
      <c r="L19" s="20" t="n">
        <v>0</v>
      </c>
      <c r="M19" s="18" t="n">
        <v>0</v>
      </c>
      <c r="N19" s="20" t="n">
        <v>0</v>
      </c>
      <c r="O19" s="18" t="n">
        <v>0</v>
      </c>
      <c r="P19" s="20" t="n">
        <v>0</v>
      </c>
      <c r="Q19" s="18" t="n">
        <v>0.8421571799999999</v>
      </c>
      <c r="R19" s="20" t="n">
        <v>0.47199291</v>
      </c>
    </row>
    <row r="20" spans="1:18">
      <c r="A20" s="15" t="s">
        <v>362</v>
      </c>
      <c r="B20" s="17" t="n">
        <v>1741</v>
      </c>
      <c r="C20" s="18">
        <f>(1527.0/B20*100)</f>
        <v/>
      </c>
      <c r="D20" s="19" t="n">
        <v>214</v>
      </c>
      <c r="E20" s="18" t="n">
        <v>48.65392822</v>
      </c>
      <c r="F20" s="20" t="n">
        <v>3.31078146</v>
      </c>
      <c r="G20" s="18" t="n">
        <v>50.02744213</v>
      </c>
      <c r="H20" s="20" t="n">
        <v>3.33697322</v>
      </c>
      <c r="I20" s="18" t="s">
        <v>349</v>
      </c>
      <c r="J20" s="20" t="s">
        <v>349</v>
      </c>
      <c r="K20" s="18" t="n">
        <v>0</v>
      </c>
      <c r="L20" s="20" t="n">
        <v>0</v>
      </c>
      <c r="M20" s="18" t="n">
        <v>0</v>
      </c>
      <c r="N20" s="20" t="n">
        <v>0</v>
      </c>
      <c r="O20" s="18" t="n">
        <v>0</v>
      </c>
      <c r="P20" s="20" t="n">
        <v>0</v>
      </c>
      <c r="Q20" s="18" t="n">
        <v>1.31862965</v>
      </c>
      <c r="R20" s="20" t="n">
        <v>0.77330859</v>
      </c>
    </row>
    <row r="21" spans="1:18">
      <c r="A21" s="15" t="s">
        <v>363</v>
      </c>
      <c r="B21" s="17" t="n">
        <v>2833</v>
      </c>
      <c r="C21" s="18">
        <f>(2349.0/B21*100)</f>
        <v/>
      </c>
      <c r="D21" s="19" t="n">
        <v>484</v>
      </c>
      <c r="E21" s="18" t="n">
        <v>65.52587683</v>
      </c>
      <c r="F21" s="20" t="n">
        <v>2.00358196</v>
      </c>
      <c r="G21" s="18" t="n">
        <v>34.10304959</v>
      </c>
      <c r="H21" s="20" t="n">
        <v>1.9626634</v>
      </c>
      <c r="I21" s="18" t="s">
        <v>349</v>
      </c>
      <c r="J21" s="20" t="s">
        <v>349</v>
      </c>
      <c r="K21" s="18" t="n">
        <v>0</v>
      </c>
      <c r="L21" s="20" t="n">
        <v>0</v>
      </c>
      <c r="M21" s="18" t="n">
        <v>0</v>
      </c>
      <c r="N21" s="20" t="n">
        <v>0</v>
      </c>
      <c r="O21" s="18" t="n">
        <v>0</v>
      </c>
      <c r="P21" s="20" t="n">
        <v>0</v>
      </c>
      <c r="Q21" s="18" t="n">
        <v>0.37107358</v>
      </c>
      <c r="R21" s="20" t="n">
        <v>0.27282464</v>
      </c>
    </row>
    <row r="22" spans="1:18">
      <c r="A22" s="15" t="s">
        <v>364</v>
      </c>
      <c r="B22" s="17" t="n">
        <v>3667</v>
      </c>
      <c r="C22" s="18">
        <f>(3179.0/B22*100)</f>
        <v/>
      </c>
      <c r="D22" s="19" t="n">
        <v>488</v>
      </c>
      <c r="E22" s="18" t="n">
        <v>58.70715365</v>
      </c>
      <c r="F22" s="20" t="n">
        <v>2.47909859</v>
      </c>
      <c r="G22" s="18" t="n">
        <v>39.93629757</v>
      </c>
      <c r="H22" s="20" t="n">
        <v>2.61651635</v>
      </c>
      <c r="I22" s="18" t="s">
        <v>349</v>
      </c>
      <c r="J22" s="20" t="s">
        <v>349</v>
      </c>
      <c r="K22" s="18" t="n">
        <v>0.57482586</v>
      </c>
      <c r="L22" s="20" t="n">
        <v>0.33287901</v>
      </c>
      <c r="M22" s="18" t="n">
        <v>0</v>
      </c>
      <c r="N22" s="20" t="n">
        <v>0</v>
      </c>
      <c r="O22" s="18" t="n">
        <v>0</v>
      </c>
      <c r="P22" s="20" t="n">
        <v>0</v>
      </c>
      <c r="Q22" s="18" t="n">
        <v>0.78172292</v>
      </c>
      <c r="R22" s="20" t="n">
        <v>0.38971846</v>
      </c>
    </row>
    <row r="23" spans="1:18">
      <c r="A23" s="15" t="s">
        <v>365</v>
      </c>
      <c r="B23" s="17" t="n">
        <v>5792</v>
      </c>
      <c r="C23" s="18">
        <f>(5082.0/B23*100)</f>
        <v/>
      </c>
      <c r="D23" s="19" t="n">
        <v>710</v>
      </c>
      <c r="E23" s="18" t="n">
        <v>64.70118629</v>
      </c>
      <c r="F23" s="20" t="n">
        <v>2.64689801</v>
      </c>
      <c r="G23" s="18" t="n">
        <v>34.4285632</v>
      </c>
      <c r="H23" s="20" t="n">
        <v>2.66049991</v>
      </c>
      <c r="I23" s="18" t="s">
        <v>349</v>
      </c>
      <c r="J23" s="20" t="s">
        <v>349</v>
      </c>
      <c r="K23" s="18" t="n">
        <v>0.06369178</v>
      </c>
      <c r="L23" s="20" t="n">
        <v>0.06854159999999999</v>
      </c>
      <c r="M23" s="18" t="n">
        <v>0</v>
      </c>
      <c r="N23" s="20" t="n">
        <v>0</v>
      </c>
      <c r="O23" s="18" t="n">
        <v>0</v>
      </c>
      <c r="P23" s="20" t="n">
        <v>0</v>
      </c>
      <c r="Q23" s="18" t="n">
        <v>0.80655873</v>
      </c>
      <c r="R23" s="20" t="n">
        <v>0.6088832</v>
      </c>
    </row>
    <row r="24" spans="1:18">
      <c r="A24" s="15" t="s">
        <v>366</v>
      </c>
      <c r="B24" s="17" t="n">
        <v>3309</v>
      </c>
      <c r="C24" s="18">
        <f>(2908.0/B24*100)</f>
        <v/>
      </c>
      <c r="D24" s="19" t="n">
        <v>401</v>
      </c>
      <c r="E24" s="18" t="n">
        <v>27.19186466</v>
      </c>
      <c r="F24" s="20" t="n">
        <v>2.01095683</v>
      </c>
      <c r="G24" s="18" t="n">
        <v>71.91840551999999</v>
      </c>
      <c r="H24" s="20" t="n">
        <v>2.10752852</v>
      </c>
      <c r="I24" s="18" t="s">
        <v>349</v>
      </c>
      <c r="J24" s="20" t="s">
        <v>349</v>
      </c>
      <c r="K24" s="18" t="n">
        <v>0</v>
      </c>
      <c r="L24" s="20" t="n">
        <v>0</v>
      </c>
      <c r="M24" s="18" t="n">
        <v>0</v>
      </c>
      <c r="N24" s="20" t="n">
        <v>0</v>
      </c>
      <c r="O24" s="18" t="n">
        <v>0</v>
      </c>
      <c r="P24" s="20" t="n">
        <v>0</v>
      </c>
      <c r="Q24" s="18" t="n">
        <v>0.88972982</v>
      </c>
      <c r="R24" s="20" t="n">
        <v>0.45269825</v>
      </c>
    </row>
    <row r="25" spans="1:18">
      <c r="A25" s="15" t="s">
        <v>367</v>
      </c>
      <c r="B25" s="17" t="n">
        <v>2669</v>
      </c>
      <c r="C25" s="18">
        <f>(2338.0/B25*100)</f>
        <v/>
      </c>
      <c r="D25" s="19" t="n">
        <v>331</v>
      </c>
      <c r="E25" s="18" t="n">
        <v>43.2279531</v>
      </c>
      <c r="F25" s="20" t="n">
        <v>2.64174303</v>
      </c>
      <c r="G25" s="18" t="n">
        <v>56.49725983</v>
      </c>
      <c r="H25" s="20" t="n">
        <v>2.66751522</v>
      </c>
      <c r="I25" s="18" t="s">
        <v>349</v>
      </c>
      <c r="J25" s="20" t="s">
        <v>349</v>
      </c>
      <c r="K25" s="18" t="n">
        <v>0.27478707</v>
      </c>
      <c r="L25" s="20" t="n">
        <v>0.38770941</v>
      </c>
      <c r="M25" s="18" t="n">
        <v>0</v>
      </c>
      <c r="N25" s="20" t="n">
        <v>0</v>
      </c>
      <c r="O25" s="18" t="n">
        <v>0</v>
      </c>
      <c r="P25" s="20" t="n">
        <v>0</v>
      </c>
      <c r="Q25" s="18" t="n">
        <v>0</v>
      </c>
      <c r="R25" s="20" t="n">
        <v>0</v>
      </c>
    </row>
    <row r="26" spans="1:18">
      <c r="A26" s="15" t="s">
        <v>368</v>
      </c>
      <c r="B26" s="17" t="n">
        <v>2419</v>
      </c>
      <c r="C26" s="18">
        <f>(2125.0/B26*100)</f>
        <v/>
      </c>
      <c r="D26" s="19" t="n">
        <v>294</v>
      </c>
      <c r="E26" s="18" t="n">
        <v>53.69555963</v>
      </c>
      <c r="F26" s="20" t="n">
        <v>2.9521922</v>
      </c>
      <c r="G26" s="18" t="n">
        <v>45.25272086</v>
      </c>
      <c r="H26" s="20" t="n">
        <v>3.00301871</v>
      </c>
      <c r="I26" s="18" t="s">
        <v>349</v>
      </c>
      <c r="J26" s="20" t="s">
        <v>349</v>
      </c>
      <c r="K26" s="18" t="n">
        <v>0</v>
      </c>
      <c r="L26" s="20" t="n">
        <v>0</v>
      </c>
      <c r="M26" s="18" t="n">
        <v>0</v>
      </c>
      <c r="N26" s="20" t="n">
        <v>0</v>
      </c>
      <c r="O26" s="18" t="n">
        <v>0</v>
      </c>
      <c r="P26" s="20" t="n">
        <v>0</v>
      </c>
      <c r="Q26" s="18" t="n">
        <v>1.05171951</v>
      </c>
      <c r="R26" s="20" t="n">
        <v>0.73952913</v>
      </c>
    </row>
    <row r="27" spans="1:18">
      <c r="A27" s="15" t="s">
        <v>369</v>
      </c>
      <c r="B27" s="17" t="n">
        <v>2683</v>
      </c>
      <c r="C27" s="18">
        <f>(2357.0/B27*100)</f>
        <v/>
      </c>
      <c r="D27" s="19" t="n">
        <v>326</v>
      </c>
      <c r="E27" s="18" t="n">
        <v>56.06592378</v>
      </c>
      <c r="F27" s="20" t="n">
        <v>2.89676078</v>
      </c>
      <c r="G27" s="18" t="n">
        <v>43.62038375</v>
      </c>
      <c r="H27" s="20" t="n">
        <v>2.90815041</v>
      </c>
      <c r="I27" s="18" t="s">
        <v>349</v>
      </c>
      <c r="J27" s="20" t="s">
        <v>349</v>
      </c>
      <c r="K27" s="18" t="n">
        <v>0</v>
      </c>
      <c r="L27" s="20" t="n">
        <v>0</v>
      </c>
      <c r="M27" s="18" t="n">
        <v>0</v>
      </c>
      <c r="N27" s="20" t="n">
        <v>0</v>
      </c>
      <c r="O27" s="18" t="n">
        <v>0</v>
      </c>
      <c r="P27" s="20" t="n">
        <v>0</v>
      </c>
      <c r="Q27" s="18" t="n">
        <v>0.31369247</v>
      </c>
      <c r="R27" s="20" t="n">
        <v>0.31289896</v>
      </c>
    </row>
    <row r="28" spans="1:18">
      <c r="A28" s="15" t="s">
        <v>370</v>
      </c>
      <c r="B28" s="17" t="n">
        <v>3803</v>
      </c>
      <c r="C28" s="18">
        <f>(3351.0/B28*100)</f>
        <v/>
      </c>
      <c r="D28" s="19" t="n">
        <v>452</v>
      </c>
      <c r="E28" s="18" t="n">
        <v>77.00838632999999</v>
      </c>
      <c r="F28" s="20" t="n">
        <v>2.10443994</v>
      </c>
      <c r="G28" s="18" t="n">
        <v>22.61924666</v>
      </c>
      <c r="H28" s="20" t="n">
        <v>2.09275387</v>
      </c>
      <c r="I28" s="18" t="s">
        <v>349</v>
      </c>
      <c r="J28" s="20" t="s">
        <v>349</v>
      </c>
      <c r="K28" s="18" t="n">
        <v>0</v>
      </c>
      <c r="L28" s="20" t="n">
        <v>0</v>
      </c>
      <c r="M28" s="18" t="n">
        <v>0</v>
      </c>
      <c r="N28" s="20" t="n">
        <v>0</v>
      </c>
      <c r="O28" s="18" t="n">
        <v>0</v>
      </c>
      <c r="P28" s="20" t="n">
        <v>0</v>
      </c>
      <c r="Q28" s="18" t="n">
        <v>0.37236702</v>
      </c>
      <c r="R28" s="20" t="n">
        <v>0.27667113</v>
      </c>
    </row>
    <row r="29" spans="1:18">
      <c r="A29" s="15" t="s">
        <v>371</v>
      </c>
      <c r="B29" s="17" t="n">
        <v>2700</v>
      </c>
      <c r="C29" s="18">
        <f>(2327.0/B29*100)</f>
        <v/>
      </c>
      <c r="D29" s="19" t="n">
        <v>373</v>
      </c>
      <c r="E29" s="18" t="n">
        <v>44.78778172</v>
      </c>
      <c r="F29" s="20" t="n">
        <v>2.52623133</v>
      </c>
      <c r="G29" s="18" t="n">
        <v>54.33397936</v>
      </c>
      <c r="H29" s="20" t="n">
        <v>2.55295133</v>
      </c>
      <c r="I29" s="18" t="s">
        <v>349</v>
      </c>
      <c r="J29" s="20" t="s">
        <v>349</v>
      </c>
      <c r="K29" s="18" t="n">
        <v>0.87823892</v>
      </c>
      <c r="L29" s="20" t="n">
        <v>0.44433897</v>
      </c>
      <c r="M29" s="18" t="n">
        <v>0</v>
      </c>
      <c r="N29" s="20" t="n">
        <v>0</v>
      </c>
      <c r="O29" s="18" t="n">
        <v>0</v>
      </c>
      <c r="P29" s="20" t="n">
        <v>0</v>
      </c>
      <c r="Q29" s="18" t="n">
        <v>0</v>
      </c>
      <c r="R29" s="20" t="n">
        <v>0</v>
      </c>
    </row>
    <row r="30" spans="1:18">
      <c r="A30" s="15" t="s">
        <v>372</v>
      </c>
      <c r="B30" s="17" t="n">
        <v>2257</v>
      </c>
      <c r="C30" s="18">
        <f>(1975.0/B30*100)</f>
        <v/>
      </c>
      <c r="D30" s="19" t="n">
        <v>282</v>
      </c>
      <c r="E30" s="18" t="n">
        <v>56.97917428</v>
      </c>
      <c r="F30" s="20" t="n">
        <v>3.74434382</v>
      </c>
      <c r="G30" s="18" t="n">
        <v>42.60931359</v>
      </c>
      <c r="H30" s="20" t="n">
        <v>3.7253001</v>
      </c>
      <c r="I30" s="18" t="s">
        <v>349</v>
      </c>
      <c r="J30" s="20" t="s">
        <v>349</v>
      </c>
      <c r="K30" s="18" t="n">
        <v>0</v>
      </c>
      <c r="L30" s="20" t="n">
        <v>0</v>
      </c>
      <c r="M30" s="18" t="n">
        <v>0</v>
      </c>
      <c r="N30" s="20" t="n">
        <v>0</v>
      </c>
      <c r="O30" s="18" t="n">
        <v>0</v>
      </c>
      <c r="P30" s="20" t="n">
        <v>0</v>
      </c>
      <c r="Q30" s="18" t="n">
        <v>0.41151213</v>
      </c>
      <c r="R30" s="20" t="n">
        <v>0.4174908</v>
      </c>
    </row>
    <row r="31" spans="1:18">
      <c r="A31" s="15" t="s">
        <v>373</v>
      </c>
      <c r="B31" s="17" t="n">
        <v>2706</v>
      </c>
      <c r="C31" s="18">
        <f>(2387.0/B31*100)</f>
        <v/>
      </c>
      <c r="D31" s="19" t="n">
        <v>319</v>
      </c>
      <c r="E31" s="18" t="n">
        <v>39.61838569</v>
      </c>
      <c r="F31" s="20" t="n">
        <v>2.95096612</v>
      </c>
      <c r="G31" s="18" t="n">
        <v>58.05625732</v>
      </c>
      <c r="H31" s="20" t="n">
        <v>2.87307003</v>
      </c>
      <c r="I31" s="18" t="s">
        <v>349</v>
      </c>
      <c r="J31" s="20" t="s">
        <v>349</v>
      </c>
      <c r="K31" s="18" t="n">
        <v>0.7417015</v>
      </c>
      <c r="L31" s="20" t="n">
        <v>0.59022</v>
      </c>
      <c r="M31" s="18" t="n">
        <v>0</v>
      </c>
      <c r="N31" s="20" t="n">
        <v>0</v>
      </c>
      <c r="O31" s="18" t="n">
        <v>0</v>
      </c>
      <c r="P31" s="20" t="n">
        <v>0</v>
      </c>
      <c r="Q31" s="18" t="n">
        <v>1.58365549</v>
      </c>
      <c r="R31" s="20" t="n">
        <v>0.72239366</v>
      </c>
    </row>
    <row r="32" spans="1:18">
      <c r="A32" s="15" t="s">
        <v>374</v>
      </c>
      <c r="B32" s="17" t="n">
        <v>2209</v>
      </c>
      <c r="C32" s="18">
        <f>(1849.0/B32*100)</f>
        <v/>
      </c>
      <c r="D32" s="19" t="n">
        <v>360</v>
      </c>
      <c r="E32" s="18" t="n">
        <v>50.30744106</v>
      </c>
      <c r="F32" s="20" t="n">
        <v>2.80298363</v>
      </c>
      <c r="G32" s="18" t="n">
        <v>49.19020701</v>
      </c>
      <c r="H32" s="20" t="n">
        <v>2.8570645</v>
      </c>
      <c r="I32" s="18" t="s">
        <v>349</v>
      </c>
      <c r="J32" s="20" t="s">
        <v>349</v>
      </c>
      <c r="K32" s="18" t="n">
        <v>0.27831739</v>
      </c>
      <c r="L32" s="20" t="n">
        <v>0.2780752</v>
      </c>
      <c r="M32" s="18" t="n">
        <v>0</v>
      </c>
      <c r="N32" s="20" t="n">
        <v>0</v>
      </c>
      <c r="O32" s="18" t="n">
        <v>0</v>
      </c>
      <c r="P32" s="20" t="n">
        <v>0</v>
      </c>
      <c r="Q32" s="18" t="n">
        <v>0.22403454</v>
      </c>
      <c r="R32" s="20" t="n">
        <v>0.22941116</v>
      </c>
    </row>
    <row r="33" spans="1:18">
      <c r="A33" s="15" t="s">
        <v>375</v>
      </c>
      <c r="B33" s="17" t="n">
        <v>3651</v>
      </c>
      <c r="C33" s="18">
        <f>(3211.0/B33*100)</f>
        <v/>
      </c>
      <c r="D33" s="19" t="n">
        <v>440</v>
      </c>
      <c r="E33" s="18" t="n">
        <v>64.09306737</v>
      </c>
      <c r="F33" s="20" t="n">
        <v>2.95245616</v>
      </c>
      <c r="G33" s="18" t="n">
        <v>35.60653525</v>
      </c>
      <c r="H33" s="20" t="n">
        <v>2.94893989</v>
      </c>
      <c r="I33" s="18" t="s">
        <v>349</v>
      </c>
      <c r="J33" s="20" t="s">
        <v>349</v>
      </c>
      <c r="K33" s="18" t="n">
        <v>0</v>
      </c>
      <c r="L33" s="20" t="n">
        <v>0</v>
      </c>
      <c r="M33" s="18" t="n">
        <v>0</v>
      </c>
      <c r="N33" s="20" t="n">
        <v>0</v>
      </c>
      <c r="O33" s="18" t="n">
        <v>0</v>
      </c>
      <c r="P33" s="20" t="n">
        <v>0</v>
      </c>
      <c r="Q33" s="18" t="n">
        <v>0.30039738</v>
      </c>
      <c r="R33" s="20" t="n">
        <v>0.2630782</v>
      </c>
    </row>
    <row r="34" spans="1:18">
      <c r="A34" s="15" t="s">
        <v>376</v>
      </c>
      <c r="B34" s="17" t="n">
        <v>3035</v>
      </c>
      <c r="C34" s="18">
        <f>(2650.0/B34*100)</f>
        <v/>
      </c>
      <c r="D34" s="19" t="n">
        <v>385</v>
      </c>
      <c r="E34" s="18" t="n">
        <v>58.62074019</v>
      </c>
      <c r="F34" s="20" t="n">
        <v>2.67810674</v>
      </c>
      <c r="G34" s="18" t="n">
        <v>40.85451438</v>
      </c>
      <c r="H34" s="20" t="n">
        <v>2.59944007</v>
      </c>
      <c r="I34" s="18" t="s">
        <v>349</v>
      </c>
      <c r="J34" s="20" t="s">
        <v>349</v>
      </c>
      <c r="K34" s="18" t="n">
        <v>0</v>
      </c>
      <c r="L34" s="20" t="n">
        <v>0</v>
      </c>
      <c r="M34" s="18" t="n">
        <v>0</v>
      </c>
      <c r="N34" s="20" t="n">
        <v>0</v>
      </c>
      <c r="O34" s="18" t="n">
        <v>0</v>
      </c>
      <c r="P34" s="20" t="n">
        <v>0</v>
      </c>
      <c r="Q34" s="18" t="n">
        <v>0.52474543</v>
      </c>
      <c r="R34" s="20" t="n">
        <v>0.37880078</v>
      </c>
    </row>
    <row r="35" spans="1:18">
      <c r="A35" s="15" t="s">
        <v>377</v>
      </c>
      <c r="B35" s="17" t="n">
        <v>2901</v>
      </c>
      <c r="C35" s="18">
        <f>(2551.0/B35*100)</f>
        <v/>
      </c>
      <c r="D35" s="19" t="n">
        <v>350</v>
      </c>
      <c r="E35" s="18" t="n">
        <v>42.53645005</v>
      </c>
      <c r="F35" s="20" t="n">
        <v>3.29000382</v>
      </c>
      <c r="G35" s="18" t="n">
        <v>56.80467739</v>
      </c>
      <c r="H35" s="20" t="n">
        <v>3.32361213</v>
      </c>
      <c r="I35" s="18" t="s">
        <v>349</v>
      </c>
      <c r="J35" s="20" t="s">
        <v>349</v>
      </c>
      <c r="K35" s="18" t="n">
        <v>0</v>
      </c>
      <c r="L35" s="20" t="n">
        <v>0</v>
      </c>
      <c r="M35" s="18" t="n">
        <v>0</v>
      </c>
      <c r="N35" s="20" t="n">
        <v>0</v>
      </c>
      <c r="O35" s="18" t="n">
        <v>0</v>
      </c>
      <c r="P35" s="20" t="n">
        <v>0</v>
      </c>
      <c r="Q35" s="18" t="n">
        <v>0.6588725600000001</v>
      </c>
      <c r="R35" s="20" t="n">
        <v>0.38841639</v>
      </c>
    </row>
    <row r="36" spans="1:18">
      <c r="A36" s="15" t="s">
        <v>378</v>
      </c>
      <c r="B36" s="17" t="n">
        <v>3404</v>
      </c>
      <c r="C36" s="18">
        <f>(2975.0/B36*100)</f>
        <v/>
      </c>
      <c r="D36" s="19" t="n">
        <v>429</v>
      </c>
      <c r="E36" s="18" t="n">
        <v>63.19302792</v>
      </c>
      <c r="F36" s="20" t="n">
        <v>2.4612703</v>
      </c>
      <c r="G36" s="18" t="n">
        <v>36.3611603</v>
      </c>
      <c r="H36" s="20" t="n">
        <v>2.40165638</v>
      </c>
      <c r="I36" s="18" t="s">
        <v>349</v>
      </c>
      <c r="J36" s="20" t="s">
        <v>349</v>
      </c>
      <c r="K36" s="18" t="n">
        <v>0.13858886</v>
      </c>
      <c r="L36" s="20" t="n">
        <v>0.12842146</v>
      </c>
      <c r="M36" s="18" t="n">
        <v>0</v>
      </c>
      <c r="N36" s="20" t="n">
        <v>0</v>
      </c>
      <c r="O36" s="18" t="n">
        <v>0</v>
      </c>
      <c r="P36" s="20" t="n">
        <v>0</v>
      </c>
      <c r="Q36" s="18" t="n">
        <v>0.30722293</v>
      </c>
      <c r="R36" s="20" t="n">
        <v>0.29292667</v>
      </c>
    </row>
    <row r="37" spans="1:18">
      <c r="A37" s="15" t="s">
        <v>379</v>
      </c>
      <c r="B37" s="17" t="n">
        <v>2731</v>
      </c>
      <c r="C37" s="18">
        <f>(2405.0/B37*100)</f>
        <v/>
      </c>
      <c r="D37" s="19" t="n">
        <v>326</v>
      </c>
      <c r="E37" s="18" t="n">
        <v>50.91059432</v>
      </c>
      <c r="F37" s="20" t="n">
        <v>3.30917893</v>
      </c>
      <c r="G37" s="18" t="n">
        <v>48.13606717</v>
      </c>
      <c r="H37" s="20" t="n">
        <v>3.33102663</v>
      </c>
      <c r="I37" s="18" t="s">
        <v>349</v>
      </c>
      <c r="J37" s="20" t="s">
        <v>349</v>
      </c>
      <c r="K37" s="18" t="n">
        <v>0.35978631</v>
      </c>
      <c r="L37" s="20" t="n">
        <v>0.3458571</v>
      </c>
      <c r="M37" s="18" t="n">
        <v>0</v>
      </c>
      <c r="N37" s="20" t="n">
        <v>0</v>
      </c>
      <c r="O37" s="18" t="n">
        <v>0</v>
      </c>
      <c r="P37" s="20" t="n">
        <v>0</v>
      </c>
      <c r="Q37" s="18" t="n">
        <v>0.5935522</v>
      </c>
      <c r="R37" s="20" t="n">
        <v>0.42497976</v>
      </c>
    </row>
    <row r="38" spans="1:18">
      <c r="A38" s="15" t="s">
        <v>380</v>
      </c>
      <c r="B38" s="17" t="n">
        <v>2807</v>
      </c>
      <c r="C38" s="18">
        <f>(2330.0/B38*100)</f>
        <v/>
      </c>
      <c r="D38" s="19" t="n">
        <v>477</v>
      </c>
      <c r="E38" s="18" t="n">
        <v>45.96816293</v>
      </c>
      <c r="F38" s="20" t="n">
        <v>2.47098235</v>
      </c>
      <c r="G38" s="18" t="n">
        <v>53.54540917</v>
      </c>
      <c r="H38" s="20" t="n">
        <v>2.49033683</v>
      </c>
      <c r="I38" s="18" t="s">
        <v>349</v>
      </c>
      <c r="J38" s="20" t="s">
        <v>349</v>
      </c>
      <c r="K38" s="18" t="n">
        <v>0.0279124</v>
      </c>
      <c r="L38" s="20" t="n">
        <v>0.02282633</v>
      </c>
      <c r="M38" s="18" t="n">
        <v>0</v>
      </c>
      <c r="N38" s="20" t="n">
        <v>0</v>
      </c>
      <c r="O38" s="18" t="n">
        <v>0</v>
      </c>
      <c r="P38" s="20" t="n">
        <v>0</v>
      </c>
      <c r="Q38" s="18" t="n">
        <v>0.4585155</v>
      </c>
      <c r="R38" s="20" t="n">
        <v>0.32912249</v>
      </c>
    </row>
    <row r="39" spans="1:18">
      <c r="A39" s="15" t="s">
        <v>381</v>
      </c>
      <c r="B39" s="17" t="n">
        <v>2938</v>
      </c>
      <c r="C39" s="18">
        <f>(2568.0/B39*100)</f>
        <v/>
      </c>
      <c r="D39" s="19" t="n">
        <v>370</v>
      </c>
      <c r="E39" s="18" t="n">
        <v>69.28919784</v>
      </c>
      <c r="F39" s="20" t="n">
        <v>3.25526847</v>
      </c>
      <c r="G39" s="18" t="n">
        <v>29.72143986</v>
      </c>
      <c r="H39" s="20" t="n">
        <v>3.24256558</v>
      </c>
      <c r="I39" s="18" t="s">
        <v>349</v>
      </c>
      <c r="J39" s="20" t="s">
        <v>349</v>
      </c>
      <c r="K39" s="18" t="n">
        <v>0</v>
      </c>
      <c r="L39" s="20" t="n">
        <v>0</v>
      </c>
      <c r="M39" s="18" t="n">
        <v>0</v>
      </c>
      <c r="N39" s="20" t="n">
        <v>0</v>
      </c>
      <c r="O39" s="18" t="n">
        <v>0</v>
      </c>
      <c r="P39" s="20" t="n">
        <v>0</v>
      </c>
      <c r="Q39" s="18" t="n">
        <v>0.98936231</v>
      </c>
      <c r="R39" s="20" t="n">
        <v>0.30189935</v>
      </c>
    </row>
    <row r="40" spans="1:18">
      <c r="A40" s="15" t="s">
        <v>382</v>
      </c>
      <c r="B40" s="17" t="n">
        <v>6922</v>
      </c>
      <c r="C40" s="18">
        <f>(6056.0/B40*100)</f>
        <v/>
      </c>
      <c r="D40" s="19" t="n">
        <v>866</v>
      </c>
      <c r="E40" s="18" t="n">
        <v>55.55350202</v>
      </c>
      <c r="F40" s="20" t="n">
        <v>2.39553407</v>
      </c>
      <c r="G40" s="18" t="n">
        <v>42.89852008</v>
      </c>
      <c r="H40" s="20" t="n">
        <v>2.42733856</v>
      </c>
      <c r="I40" s="18" t="s">
        <v>349</v>
      </c>
      <c r="J40" s="20" t="s">
        <v>349</v>
      </c>
      <c r="K40" s="18" t="n">
        <v>0.01308878</v>
      </c>
      <c r="L40" s="20" t="n">
        <v>0.01316609</v>
      </c>
      <c r="M40" s="18" t="n">
        <v>0</v>
      </c>
      <c r="N40" s="20" t="n">
        <v>0</v>
      </c>
      <c r="O40" s="18" t="n">
        <v>0</v>
      </c>
      <c r="P40" s="20" t="n">
        <v>0</v>
      </c>
      <c r="Q40" s="18" t="n">
        <v>1.53488912</v>
      </c>
      <c r="R40" s="20" t="n">
        <v>0.73602555</v>
      </c>
    </row>
    <row r="41" spans="1:18">
      <c r="A41" s="15" t="s">
        <v>383</v>
      </c>
      <c r="B41" s="17" t="n">
        <v>2854</v>
      </c>
      <c r="C41" s="18">
        <f>(2500.0/B41*100)</f>
        <v/>
      </c>
      <c r="D41" s="19" t="n">
        <v>354</v>
      </c>
      <c r="E41" s="18" t="n">
        <v>67.01125106000001</v>
      </c>
      <c r="F41" s="20" t="n">
        <v>2.75992616</v>
      </c>
      <c r="G41" s="18" t="n">
        <v>31.24326718</v>
      </c>
      <c r="H41" s="20" t="n">
        <v>2.8454276</v>
      </c>
      <c r="I41" s="18" t="s">
        <v>349</v>
      </c>
      <c r="J41" s="20" t="s">
        <v>349</v>
      </c>
      <c r="K41" s="18" t="n">
        <v>0</v>
      </c>
      <c r="L41" s="20" t="n">
        <v>0</v>
      </c>
      <c r="M41" s="18" t="n">
        <v>0</v>
      </c>
      <c r="N41" s="20" t="n">
        <v>0</v>
      </c>
      <c r="O41" s="18" t="n">
        <v>0</v>
      </c>
      <c r="P41" s="20" t="n">
        <v>0</v>
      </c>
      <c r="Q41" s="18" t="n">
        <v>1.74548176</v>
      </c>
      <c r="R41" s="20" t="n">
        <v>0.53878224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(10676.0/B46*100)</f>
        <v/>
      </c>
      <c r="D46" s="19" t="n">
        <v>1397</v>
      </c>
      <c r="E46" s="18" t="n">
        <v>76.08053631999999</v>
      </c>
      <c r="F46" s="20" t="n">
        <v>1.56530522</v>
      </c>
      <c r="G46" s="18" t="n">
        <v>22.1295355</v>
      </c>
      <c r="H46" s="20" t="n">
        <v>1.55158517</v>
      </c>
      <c r="I46" s="18" t="s">
        <v>349</v>
      </c>
      <c r="J46" s="20" t="s">
        <v>349</v>
      </c>
      <c r="K46" s="18" t="n">
        <v>0.39586609</v>
      </c>
      <c r="L46" s="20" t="n">
        <v>0.21457845</v>
      </c>
      <c r="M46" s="18" t="n">
        <v>0</v>
      </c>
      <c r="N46" s="20" t="n">
        <v>0</v>
      </c>
      <c r="O46" s="18" t="n">
        <v>0</v>
      </c>
      <c r="P46" s="20" t="n">
        <v>0</v>
      </c>
      <c r="Q46" s="18" t="n">
        <v>1.39406209</v>
      </c>
      <c r="R46" s="20" t="n">
        <v>0.35267735</v>
      </c>
    </row>
    <row r="47" spans="1:18">
      <c r="A47" s="15" t="s">
        <v>389</v>
      </c>
      <c r="B47" s="17" t="n">
        <v>2823</v>
      </c>
      <c r="C47" s="18">
        <f>(2476.0/B47*100)</f>
        <v/>
      </c>
      <c r="D47" s="19" t="n">
        <v>347</v>
      </c>
      <c r="E47" s="18" t="n">
        <v>61.40206451</v>
      </c>
      <c r="F47" s="20" t="n">
        <v>2.53236664</v>
      </c>
      <c r="G47" s="18" t="n">
        <v>37.7319368</v>
      </c>
      <c r="H47" s="20" t="n">
        <v>2.64788426</v>
      </c>
      <c r="I47" s="18" t="s">
        <v>349</v>
      </c>
      <c r="J47" s="20" t="s">
        <v>349</v>
      </c>
      <c r="K47" s="18" t="n">
        <v>0</v>
      </c>
      <c r="L47" s="20" t="n">
        <v>0</v>
      </c>
      <c r="M47" s="18" t="n">
        <v>0</v>
      </c>
      <c r="N47" s="20" t="n">
        <v>0</v>
      </c>
      <c r="O47" s="18" t="n">
        <v>0</v>
      </c>
      <c r="P47" s="20" t="n">
        <v>0</v>
      </c>
      <c r="Q47" s="18" t="n">
        <v>0.86599869</v>
      </c>
      <c r="R47" s="20" t="n">
        <v>0.50127164</v>
      </c>
    </row>
    <row r="48" spans="1:18">
      <c r="A48" s="15" t="s">
        <v>390</v>
      </c>
      <c r="B48" s="17" t="n">
        <v>4682</v>
      </c>
      <c r="C48" s="18">
        <f>(4114.0/B48*100)</f>
        <v/>
      </c>
      <c r="D48" s="19" t="n">
        <v>568</v>
      </c>
      <c r="E48" s="18" t="n">
        <v>42.12453312</v>
      </c>
      <c r="F48" s="20" t="n">
        <v>2.92482906</v>
      </c>
      <c r="G48" s="18" t="n">
        <v>57.27522458</v>
      </c>
      <c r="H48" s="20" t="n">
        <v>2.88965025</v>
      </c>
      <c r="I48" s="18" t="s">
        <v>349</v>
      </c>
      <c r="J48" s="20" t="s">
        <v>349</v>
      </c>
      <c r="K48" s="18" t="n">
        <v>0</v>
      </c>
      <c r="L48" s="20" t="n">
        <v>0</v>
      </c>
      <c r="M48" s="18" t="n">
        <v>0</v>
      </c>
      <c r="N48" s="20" t="n">
        <v>0</v>
      </c>
      <c r="O48" s="18" t="n">
        <v>0</v>
      </c>
      <c r="P48" s="20" t="n">
        <v>0</v>
      </c>
      <c r="Q48" s="18" t="n">
        <v>0.6002423099999999</v>
      </c>
      <c r="R48" s="20" t="n">
        <v>0.39992325</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(5437.0/B50*100)</f>
        <v/>
      </c>
      <c r="D50" s="19" t="n">
        <v>721</v>
      </c>
      <c r="E50" s="18" t="n">
        <v>81.13912764</v>
      </c>
      <c r="F50" s="20" t="n">
        <v>1.99920475</v>
      </c>
      <c r="G50" s="18" t="n">
        <v>17.26857747</v>
      </c>
      <c r="H50" s="20" t="n">
        <v>1.80262556</v>
      </c>
      <c r="I50" s="18" t="s">
        <v>349</v>
      </c>
      <c r="J50" s="20" t="s">
        <v>349</v>
      </c>
      <c r="K50" s="18" t="n">
        <v>0.51242316</v>
      </c>
      <c r="L50" s="20" t="n">
        <v>0.5134123900000001</v>
      </c>
      <c r="M50" s="18" t="n">
        <v>0</v>
      </c>
      <c r="N50" s="20" t="n">
        <v>0</v>
      </c>
      <c r="O50" s="18" t="n">
        <v>0</v>
      </c>
      <c r="P50" s="20" t="n">
        <v>0</v>
      </c>
      <c r="Q50" s="18" t="n">
        <v>1.07987174</v>
      </c>
      <c r="R50" s="20" t="n">
        <v>0.49192876</v>
      </c>
    </row>
    <row r="51" spans="1:18">
      <c r="A51" s="15" t="s">
        <v>393</v>
      </c>
      <c r="B51" s="17" t="n">
        <v>3494</v>
      </c>
      <c r="C51" s="18">
        <f>(3133.0/B51*100)</f>
        <v/>
      </c>
      <c r="D51" s="19" t="n">
        <v>361</v>
      </c>
      <c r="E51" s="18" t="n">
        <v>84.73950231000001</v>
      </c>
      <c r="F51" s="20" t="n">
        <v>1.86565975</v>
      </c>
      <c r="G51" s="18" t="n">
        <v>14.1801994</v>
      </c>
      <c r="H51" s="20" t="n">
        <v>1.77448012</v>
      </c>
      <c r="I51" s="18" t="s">
        <v>349</v>
      </c>
      <c r="J51" s="20" t="s">
        <v>349</v>
      </c>
      <c r="K51" s="18" t="n">
        <v>0</v>
      </c>
      <c r="L51" s="20" t="n">
        <v>0</v>
      </c>
      <c r="M51" s="18" t="n">
        <v>0</v>
      </c>
      <c r="N51" s="20" t="n">
        <v>0</v>
      </c>
      <c r="O51" s="18" t="n">
        <v>0</v>
      </c>
      <c r="P51" s="20" t="n">
        <v>0</v>
      </c>
      <c r="Q51" s="18" t="n">
        <v>1.0802983</v>
      </c>
      <c r="R51" s="20" t="n">
        <v>0.50674861</v>
      </c>
    </row>
    <row r="52" spans="1:18">
      <c r="A52" s="15" t="s">
        <v>394</v>
      </c>
      <c r="B52" s="17" t="n">
        <v>3013</v>
      </c>
      <c r="C52" s="18">
        <f>(2645.0/B52*100)</f>
        <v/>
      </c>
      <c r="D52" s="19" t="n">
        <v>368</v>
      </c>
      <c r="E52" s="18" t="n">
        <v>61.32192317</v>
      </c>
      <c r="F52" s="20" t="n">
        <v>2.82509817</v>
      </c>
      <c r="G52" s="18" t="n">
        <v>38.09856009</v>
      </c>
      <c r="H52" s="20" t="n">
        <v>2.80107206</v>
      </c>
      <c r="I52" s="18" t="s">
        <v>349</v>
      </c>
      <c r="J52" s="20" t="s">
        <v>349</v>
      </c>
      <c r="K52" s="18" t="n">
        <v>0</v>
      </c>
      <c r="L52" s="20" t="n">
        <v>0</v>
      </c>
      <c r="M52" s="18" t="n">
        <v>0</v>
      </c>
      <c r="N52" s="20" t="n">
        <v>0</v>
      </c>
      <c r="O52" s="18" t="n">
        <v>0</v>
      </c>
      <c r="P52" s="20" t="n">
        <v>0</v>
      </c>
      <c r="Q52" s="18" t="n">
        <v>0.57951673</v>
      </c>
      <c r="R52" s="20" t="n">
        <v>0.38958393</v>
      </c>
    </row>
    <row r="53" spans="1:18">
      <c r="A53" s="15" t="s">
        <v>395</v>
      </c>
      <c r="B53" s="17" t="n">
        <v>2760</v>
      </c>
      <c r="C53" s="18">
        <f>(2440.0/B53*100)</f>
        <v/>
      </c>
      <c r="D53" s="19" t="n">
        <v>320</v>
      </c>
      <c r="E53" s="18" t="n">
        <v>70.28821532000001</v>
      </c>
      <c r="F53" s="20" t="n">
        <v>2.79441329</v>
      </c>
      <c r="G53" s="18" t="n">
        <v>28.00271855</v>
      </c>
      <c r="H53" s="20" t="n">
        <v>2.7845158</v>
      </c>
      <c r="I53" s="18" t="s">
        <v>349</v>
      </c>
      <c r="J53" s="20" t="s">
        <v>349</v>
      </c>
      <c r="K53" s="18" t="n">
        <v>0.21861899</v>
      </c>
      <c r="L53" s="20" t="n">
        <v>0.21166024</v>
      </c>
      <c r="M53" s="18" t="n">
        <v>0</v>
      </c>
      <c r="N53" s="20" t="n">
        <v>0</v>
      </c>
      <c r="O53" s="18" t="n">
        <v>0</v>
      </c>
      <c r="P53" s="20" t="n">
        <v>0</v>
      </c>
      <c r="Q53" s="18" t="n">
        <v>1.49044714</v>
      </c>
      <c r="R53" s="20" t="n">
        <v>0.69076339</v>
      </c>
    </row>
    <row r="54" spans="1:18">
      <c r="A54" s="15" t="s">
        <v>396</v>
      </c>
      <c r="B54" s="17" t="n">
        <v>2474</v>
      </c>
      <c r="C54" s="18">
        <f>(2055.0/B54*100)</f>
        <v/>
      </c>
      <c r="D54" s="19" t="n">
        <v>419</v>
      </c>
      <c r="E54" s="18" t="n">
        <v>73.08562548</v>
      </c>
      <c r="F54" s="20" t="n">
        <v>2.2116194</v>
      </c>
      <c r="G54" s="18" t="n">
        <v>22.06962595</v>
      </c>
      <c r="H54" s="20" t="n">
        <v>1.94937704</v>
      </c>
      <c r="I54" s="18" t="s">
        <v>349</v>
      </c>
      <c r="J54" s="20" t="s">
        <v>349</v>
      </c>
      <c r="K54" s="18" t="n">
        <v>1.55697723</v>
      </c>
      <c r="L54" s="20" t="n">
        <v>0.5697006100000001</v>
      </c>
      <c r="M54" s="18" t="n">
        <v>0</v>
      </c>
      <c r="N54" s="20" t="n">
        <v>0</v>
      </c>
      <c r="O54" s="18" t="n">
        <v>0</v>
      </c>
      <c r="P54" s="20" t="n">
        <v>0</v>
      </c>
      <c r="Q54" s="18" t="n">
        <v>3.28777135</v>
      </c>
      <c r="R54" s="20" t="n">
        <v>1.06378164</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(2356.0/B56*100)</f>
        <v/>
      </c>
      <c r="D56" s="19" t="n">
        <v>319</v>
      </c>
      <c r="E56" s="18" t="n">
        <v>35.19589491</v>
      </c>
      <c r="F56" s="20" t="n">
        <v>2.42962326</v>
      </c>
      <c r="G56" s="18" t="n">
        <v>64.23333433000001</v>
      </c>
      <c r="H56" s="20" t="n">
        <v>2.42478849</v>
      </c>
      <c r="I56" s="18" t="s">
        <v>349</v>
      </c>
      <c r="J56" s="20" t="s">
        <v>349</v>
      </c>
      <c r="K56" s="18" t="n">
        <v>0</v>
      </c>
      <c r="L56" s="20" t="n">
        <v>0</v>
      </c>
      <c r="M56" s="18" t="n">
        <v>0</v>
      </c>
      <c r="N56" s="20" t="n">
        <v>0</v>
      </c>
      <c r="O56" s="18" t="n">
        <v>0</v>
      </c>
      <c r="P56" s="20" t="n">
        <v>0</v>
      </c>
      <c r="Q56" s="18" t="n">
        <v>0.57077076</v>
      </c>
      <c r="R56" s="20" t="n">
        <v>0.40708683</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(2800.0/B61*100)</f>
        <v/>
      </c>
      <c r="D61" s="19" t="n">
        <v>401</v>
      </c>
      <c r="E61" s="18" t="n">
        <v>56.84269031</v>
      </c>
      <c r="F61" s="20" t="n">
        <v>2.70699483</v>
      </c>
      <c r="G61" s="18" t="n">
        <v>42.85522111</v>
      </c>
      <c r="H61" s="20" t="n">
        <v>2.73920165</v>
      </c>
      <c r="I61" s="18" t="s">
        <v>349</v>
      </c>
      <c r="J61" s="20" t="s">
        <v>349</v>
      </c>
      <c r="K61" s="18" t="n">
        <v>0.30208858</v>
      </c>
      <c r="L61" s="20" t="n">
        <v>0.3004565</v>
      </c>
      <c r="M61" s="18" t="n">
        <v>0</v>
      </c>
      <c r="N61" s="20" t="n">
        <v>0</v>
      </c>
      <c r="O61" s="18" t="n">
        <v>0</v>
      </c>
      <c r="P61" s="20" t="n">
        <v>0</v>
      </c>
      <c r="Q61" s="18" t="n">
        <v>0</v>
      </c>
      <c r="R61" s="20" t="n">
        <v>0</v>
      </c>
    </row>
    <row r="62" spans="1:18">
      <c r="A62" s="15" t="s">
        <v>404</v>
      </c>
      <c r="B62" s="17" t="n">
        <v>2230</v>
      </c>
      <c r="C62" s="18">
        <f>(1969.0/B62*100)</f>
        <v/>
      </c>
      <c r="D62" s="19" t="n">
        <v>261</v>
      </c>
      <c r="E62" s="18" t="n">
        <v>36.89696251</v>
      </c>
      <c r="F62" s="20" t="n">
        <v>3.0219064</v>
      </c>
      <c r="G62" s="18" t="n">
        <v>63.10303749</v>
      </c>
      <c r="H62" s="20" t="n">
        <v>3.0219064</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(2429.0/B66*100)</f>
        <v/>
      </c>
      <c r="D66" s="19" t="n">
        <v>342</v>
      </c>
      <c r="E66" s="18" t="n">
        <v>74.61871884</v>
      </c>
      <c r="F66" s="20" t="n">
        <v>2.28145369</v>
      </c>
      <c r="G66" s="18" t="n">
        <v>23.71473442</v>
      </c>
      <c r="H66" s="20" t="n">
        <v>2.32237015</v>
      </c>
      <c r="I66" s="18" t="s">
        <v>349</v>
      </c>
      <c r="J66" s="20" t="s">
        <v>349</v>
      </c>
      <c r="K66" s="18" t="n">
        <v>0.24657968</v>
      </c>
      <c r="L66" s="20" t="n">
        <v>0.24653258</v>
      </c>
      <c r="M66" s="18" t="n">
        <v>0</v>
      </c>
      <c r="N66" s="20" t="n">
        <v>0</v>
      </c>
      <c r="O66" s="18" t="n">
        <v>0</v>
      </c>
      <c r="P66" s="20" t="n">
        <v>0</v>
      </c>
      <c r="Q66" s="18" t="n">
        <v>1.41996705</v>
      </c>
      <c r="R66" s="20" t="n">
        <v>0.65367553</v>
      </c>
    </row>
    <row r="67" spans="1:18">
      <c r="A67" s="15" t="s">
        <v>409</v>
      </c>
      <c r="B67" s="17" t="n">
        <v>3460</v>
      </c>
      <c r="C67" s="18">
        <f>(3029.0/B67*100)</f>
        <v/>
      </c>
      <c r="D67" s="19" t="n">
        <v>431</v>
      </c>
      <c r="E67" s="18" t="n">
        <v>77.74682117</v>
      </c>
      <c r="F67" s="20" t="n">
        <v>2.41460305</v>
      </c>
      <c r="G67" s="18" t="n">
        <v>20.36239905</v>
      </c>
      <c r="H67" s="20" t="n">
        <v>2.1692211</v>
      </c>
      <c r="I67" s="18" t="s">
        <v>349</v>
      </c>
      <c r="J67" s="20" t="s">
        <v>349</v>
      </c>
      <c r="K67" s="18" t="n">
        <v>0</v>
      </c>
      <c r="L67" s="20" t="n">
        <v>0</v>
      </c>
      <c r="M67" s="18" t="n">
        <v>0</v>
      </c>
      <c r="N67" s="20" t="n">
        <v>0</v>
      </c>
      <c r="O67" s="18" t="n">
        <v>0</v>
      </c>
      <c r="P67" s="20" t="n">
        <v>0</v>
      </c>
      <c r="Q67" s="18" t="n">
        <v>1.89077978</v>
      </c>
      <c r="R67" s="20" t="n">
        <v>0.79995501</v>
      </c>
    </row>
    <row r="68" spans="1:18">
      <c r="A68" s="15" t="s">
        <v>410</v>
      </c>
      <c r="B68" s="17" t="n">
        <v>6034</v>
      </c>
      <c r="C68" s="18">
        <f>(5046.0/B68*100)</f>
        <v/>
      </c>
      <c r="D68" s="19" t="n">
        <v>988</v>
      </c>
      <c r="E68" s="18" t="n">
        <v>76.22715794</v>
      </c>
      <c r="F68" s="20" t="n">
        <v>1.32723364</v>
      </c>
      <c r="G68" s="18" t="n">
        <v>21.68338334</v>
      </c>
      <c r="H68" s="20" t="n">
        <v>1.26780984</v>
      </c>
      <c r="I68" s="18" t="s">
        <v>349</v>
      </c>
      <c r="J68" s="20" t="s">
        <v>349</v>
      </c>
      <c r="K68" s="18" t="n">
        <v>0.80260014</v>
      </c>
      <c r="L68" s="20" t="n">
        <v>0.31778703</v>
      </c>
      <c r="M68" s="18" t="n">
        <v>0</v>
      </c>
      <c r="N68" s="20" t="n">
        <v>0</v>
      </c>
      <c r="O68" s="18" t="n">
        <v>0</v>
      </c>
      <c r="P68" s="20" t="n">
        <v>0</v>
      </c>
      <c r="Q68" s="18" t="n">
        <v>1.28685858</v>
      </c>
      <c r="R68" s="20" t="n">
        <v>0.35353965</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(2733.0/B70*100)</f>
        <v/>
      </c>
      <c r="D70" s="19" t="n">
        <v>374</v>
      </c>
      <c r="E70" s="18" t="n">
        <v>65.79232098</v>
      </c>
      <c r="F70" s="20" t="n">
        <v>2.80195002</v>
      </c>
      <c r="G70" s="18" t="n">
        <v>33.44662455</v>
      </c>
      <c r="H70" s="20" t="n">
        <v>2.77460123</v>
      </c>
      <c r="I70" s="18" t="s">
        <v>349</v>
      </c>
      <c r="J70" s="20" t="s">
        <v>349</v>
      </c>
      <c r="K70" s="18" t="n">
        <v>0.32422285</v>
      </c>
      <c r="L70" s="20" t="n">
        <v>0.22895601</v>
      </c>
      <c r="M70" s="18" t="n">
        <v>0</v>
      </c>
      <c r="N70" s="20" t="n">
        <v>0</v>
      </c>
      <c r="O70" s="18" t="n">
        <v>0</v>
      </c>
      <c r="P70" s="20" t="n">
        <v>0</v>
      </c>
      <c r="Q70" s="18" t="n">
        <v>0.43683162</v>
      </c>
      <c r="R70" s="20" t="n">
        <v>0.41867194</v>
      </c>
    </row>
    <row r="71" spans="1:18">
      <c r="A71" s="15" t="s">
        <v>413</v>
      </c>
      <c r="B71" s="17" t="n">
        <v>2973</v>
      </c>
      <c r="C71" s="18">
        <f>(2593.0/B71*100)</f>
        <v/>
      </c>
      <c r="D71" s="19" t="n">
        <v>380</v>
      </c>
      <c r="E71" s="18" t="n">
        <v>37.62167141</v>
      </c>
      <c r="F71" s="20" t="n">
        <v>2.57300877</v>
      </c>
      <c r="G71" s="18" t="n">
        <v>61.93945083</v>
      </c>
      <c r="H71" s="20" t="n">
        <v>2.58285035</v>
      </c>
      <c r="I71" s="18" t="s">
        <v>349</v>
      </c>
      <c r="J71" s="20" t="s">
        <v>349</v>
      </c>
      <c r="K71" s="18" t="n">
        <v>0</v>
      </c>
      <c r="L71" s="20" t="n">
        <v>0</v>
      </c>
      <c r="M71" s="18" t="n">
        <v>0</v>
      </c>
      <c r="N71" s="20" t="n">
        <v>0</v>
      </c>
      <c r="O71" s="18" t="n">
        <v>0</v>
      </c>
      <c r="P71" s="20" t="n">
        <v>0</v>
      </c>
      <c r="Q71" s="18" t="n">
        <v>0.43887776</v>
      </c>
      <c r="R71" s="20" t="n">
        <v>0.31745647</v>
      </c>
    </row>
    <row r="72" spans="1:18">
      <c r="A72" s="15" t="s">
        <v>414</v>
      </c>
      <c r="B72" s="17" t="n">
        <v>3819</v>
      </c>
      <c r="C72" s="18">
        <f>(3341.0/B72*100)</f>
        <v/>
      </c>
      <c r="D72" s="19" t="n">
        <v>478</v>
      </c>
      <c r="E72" s="18" t="n">
        <v>30.32122902</v>
      </c>
      <c r="F72" s="20" t="n">
        <v>2.61580437</v>
      </c>
      <c r="G72" s="18" t="n">
        <v>68.59651097</v>
      </c>
      <c r="H72" s="20" t="n">
        <v>2.54010909</v>
      </c>
      <c r="I72" s="18" t="s">
        <v>349</v>
      </c>
      <c r="J72" s="20" t="s">
        <v>349</v>
      </c>
      <c r="K72" s="18" t="n">
        <v>0</v>
      </c>
      <c r="L72" s="20" t="n">
        <v>0</v>
      </c>
      <c r="M72" s="18" t="n">
        <v>0</v>
      </c>
      <c r="N72" s="20" t="n">
        <v>0</v>
      </c>
      <c r="O72" s="18" t="n">
        <v>0</v>
      </c>
      <c r="P72" s="20" t="n">
        <v>0</v>
      </c>
      <c r="Q72" s="18" t="n">
        <v>1.08226001</v>
      </c>
      <c r="R72" s="20" t="n">
        <v>0.50722599</v>
      </c>
    </row>
    <row r="73" spans="1:18">
      <c r="A73" s="15" t="s">
        <v>415</v>
      </c>
      <c r="B73" s="17" t="n">
        <v>4652</v>
      </c>
      <c r="C73" s="18">
        <f>(4089.0/B73*100)</f>
        <v/>
      </c>
      <c r="D73" s="19" t="n">
        <v>563</v>
      </c>
      <c r="E73" s="18" t="n">
        <v>71.91102449</v>
      </c>
      <c r="F73" s="20" t="n">
        <v>2.21247365</v>
      </c>
      <c r="G73" s="18" t="n">
        <v>27.24166384</v>
      </c>
      <c r="H73" s="20" t="n">
        <v>2.27493919</v>
      </c>
      <c r="I73" s="18" t="s">
        <v>349</v>
      </c>
      <c r="J73" s="20" t="s">
        <v>349</v>
      </c>
      <c r="K73" s="18" t="n">
        <v>0</v>
      </c>
      <c r="L73" s="20" t="n">
        <v>0</v>
      </c>
      <c r="M73" s="18" t="n">
        <v>0</v>
      </c>
      <c r="N73" s="20" t="n">
        <v>0</v>
      </c>
      <c r="O73" s="18" t="n">
        <v>0</v>
      </c>
      <c r="P73" s="20" t="n">
        <v>0</v>
      </c>
      <c r="Q73" s="18" t="n">
        <v>0.84731168</v>
      </c>
      <c r="R73" s="20" t="n">
        <v>0.44496946</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(2621.0/B75*100)</f>
        <v/>
      </c>
      <c r="D75" s="19" t="n">
        <v>348</v>
      </c>
      <c r="E75" s="18" t="n">
        <v>80.73022505</v>
      </c>
      <c r="F75" s="20" t="n">
        <v>2.31810341</v>
      </c>
      <c r="G75" s="18" t="n">
        <v>14.29562257</v>
      </c>
      <c r="H75" s="20" t="n">
        <v>2.12846985</v>
      </c>
      <c r="I75" s="18" t="s">
        <v>349</v>
      </c>
      <c r="J75" s="20" t="s">
        <v>349</v>
      </c>
      <c r="K75" s="18" t="n">
        <v>2.0593604</v>
      </c>
      <c r="L75" s="20" t="n">
        <v>0.72816145</v>
      </c>
      <c r="M75" s="18" t="n">
        <v>0</v>
      </c>
      <c r="N75" s="20" t="n">
        <v>0</v>
      </c>
      <c r="O75" s="18" t="n">
        <v>0</v>
      </c>
      <c r="P75" s="20" t="n">
        <v>0</v>
      </c>
      <c r="Q75" s="18" t="n">
        <v>2.91479198</v>
      </c>
      <c r="R75" s="20" t="n">
        <v>1.20833326</v>
      </c>
    </row>
    <row r="76" spans="1:18">
      <c r="A76" s="15" t="s">
        <v>418</v>
      </c>
      <c r="B76" s="17" t="n">
        <v>7115</v>
      </c>
      <c r="C76" s="18">
        <f>(6237.0/B76*100)</f>
        <v/>
      </c>
      <c r="D76" s="19" t="n">
        <v>878</v>
      </c>
      <c r="E76" s="18" t="n">
        <v>71.72712313</v>
      </c>
      <c r="F76" s="20" t="n">
        <v>1.9436164</v>
      </c>
      <c r="G76" s="18" t="n">
        <v>26.80294396</v>
      </c>
      <c r="H76" s="20" t="n">
        <v>1.95270558</v>
      </c>
      <c r="I76" s="18" t="s">
        <v>349</v>
      </c>
      <c r="J76" s="20" t="s">
        <v>349</v>
      </c>
      <c r="K76" s="18" t="n">
        <v>0.48802136</v>
      </c>
      <c r="L76" s="20" t="n">
        <v>0.30674152</v>
      </c>
      <c r="M76" s="18" t="n">
        <v>0</v>
      </c>
      <c r="N76" s="20" t="n">
        <v>0</v>
      </c>
      <c r="O76" s="18" t="n">
        <v>0</v>
      </c>
      <c r="P76" s="20" t="n">
        <v>0</v>
      </c>
      <c r="Q76" s="18" t="n">
        <v>0.98191155</v>
      </c>
      <c r="R76" s="20" t="n">
        <v>0.57126959</v>
      </c>
    </row>
    <row r="77" spans="1:18">
      <c r="A77" s="15" t="s">
        <v>419</v>
      </c>
      <c r="B77" s="17" t="n">
        <v>3154</v>
      </c>
      <c r="C77" s="18">
        <f>(2775.0/B77*100)</f>
        <v/>
      </c>
      <c r="D77" s="19" t="n">
        <v>379</v>
      </c>
      <c r="E77" s="18" t="n">
        <v>73.58939964</v>
      </c>
      <c r="F77" s="20" t="n">
        <v>2.58157433</v>
      </c>
      <c r="G77" s="18" t="n">
        <v>24.81526769</v>
      </c>
      <c r="H77" s="20" t="n">
        <v>2.45623313</v>
      </c>
      <c r="I77" s="18" t="s">
        <v>349</v>
      </c>
      <c r="J77" s="20" t="s">
        <v>349</v>
      </c>
      <c r="K77" s="18" t="n">
        <v>0</v>
      </c>
      <c r="L77" s="20" t="n">
        <v>0</v>
      </c>
      <c r="M77" s="18" t="n">
        <v>0</v>
      </c>
      <c r="N77" s="20" t="n">
        <v>0</v>
      </c>
      <c r="O77" s="18" t="n">
        <v>0</v>
      </c>
      <c r="P77" s="20" t="n">
        <v>0</v>
      </c>
      <c r="Q77" s="18" t="n">
        <v>1.59533267</v>
      </c>
      <c r="R77" s="20" t="n">
        <v>0.63496534</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(4119.0/B81*100)</f>
        <v/>
      </c>
      <c r="D81" s="19" t="n">
        <v>579</v>
      </c>
      <c r="E81" s="18" t="n">
        <v>76.13459946</v>
      </c>
      <c r="F81" s="20" t="n">
        <v>2.15416536</v>
      </c>
      <c r="G81" s="18" t="n">
        <v>23.07183479</v>
      </c>
      <c r="H81" s="20" t="n">
        <v>2.07073784</v>
      </c>
      <c r="I81" s="18" t="s">
        <v>349</v>
      </c>
      <c r="J81" s="20" t="s">
        <v>349</v>
      </c>
      <c r="K81" s="18" t="n">
        <v>0.23222901</v>
      </c>
      <c r="L81" s="20" t="n">
        <v>0.23162311</v>
      </c>
      <c r="M81" s="18" t="n">
        <v>0</v>
      </c>
      <c r="N81" s="20" t="n">
        <v>0</v>
      </c>
      <c r="O81" s="18" t="n">
        <v>0</v>
      </c>
      <c r="P81" s="20" t="n">
        <v>0</v>
      </c>
      <c r="Q81" s="18" t="n">
        <v>0.56133674</v>
      </c>
      <c r="R81" s="20" t="n">
        <v>0.39912922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(6293.0/B7*100)</f>
        <v/>
      </c>
      <c r="D7" s="19" t="n">
        <v>870</v>
      </c>
      <c r="E7" s="18" t="n">
        <v>22.62970053</v>
      </c>
      <c r="F7" s="20" t="n">
        <v>1.78073149</v>
      </c>
      <c r="G7" s="18" t="n">
        <v>74.33921252</v>
      </c>
      <c r="H7" s="20" t="n">
        <v>1.89395154</v>
      </c>
      <c r="I7" s="18" t="s">
        <v>349</v>
      </c>
      <c r="J7" s="20" t="s">
        <v>349</v>
      </c>
      <c r="K7" s="18" t="n">
        <v>0.35217986</v>
      </c>
      <c r="L7" s="20" t="n">
        <v>0.23991575</v>
      </c>
      <c r="M7" s="18" t="n">
        <v>0</v>
      </c>
      <c r="N7" s="20" t="n">
        <v>0</v>
      </c>
      <c r="O7" s="18" t="n">
        <v>0</v>
      </c>
      <c r="P7" s="20" t="n">
        <v>0</v>
      </c>
      <c r="Q7" s="18" t="n">
        <v>2.67890709</v>
      </c>
      <c r="R7" s="20" t="n">
        <v>0.78969806</v>
      </c>
    </row>
    <row r="8" spans="1:18">
      <c r="A8" s="15" t="s">
        <v>350</v>
      </c>
      <c r="B8" s="17" t="n">
        <v>3443</v>
      </c>
      <c r="C8" s="18">
        <f>(3019.0/B8*100)</f>
        <v/>
      </c>
      <c r="D8" s="19" t="n">
        <v>424</v>
      </c>
      <c r="E8" s="18" t="n">
        <v>25.40424389</v>
      </c>
      <c r="F8" s="20" t="n">
        <v>2.19167854</v>
      </c>
      <c r="G8" s="18" t="n">
        <v>72.61585599</v>
      </c>
      <c r="H8" s="20" t="n">
        <v>2.18017011</v>
      </c>
      <c r="I8" s="18" t="s">
        <v>349</v>
      </c>
      <c r="J8" s="20" t="s">
        <v>349</v>
      </c>
      <c r="K8" s="18" t="n">
        <v>0</v>
      </c>
      <c r="L8" s="20" t="n">
        <v>0</v>
      </c>
      <c r="M8" s="18" t="n">
        <v>0</v>
      </c>
      <c r="N8" s="20" t="n">
        <v>0</v>
      </c>
      <c r="O8" s="18" t="n">
        <v>0</v>
      </c>
      <c r="P8" s="20" t="n">
        <v>0</v>
      </c>
      <c r="Q8" s="18" t="n">
        <v>1.97990013</v>
      </c>
      <c r="R8" s="20" t="n">
        <v>0.62511868</v>
      </c>
    </row>
    <row r="9" spans="1:18">
      <c r="A9" s="15" t="s">
        <v>351</v>
      </c>
      <c r="B9" s="17" t="n">
        <v>4752</v>
      </c>
      <c r="C9" s="18">
        <f>(4190.0/B9*100)</f>
        <v/>
      </c>
      <c r="D9" s="19" t="n">
        <v>562</v>
      </c>
      <c r="E9" s="18" t="n">
        <v>26.66575132</v>
      </c>
      <c r="F9" s="20" t="n">
        <v>1.8787688</v>
      </c>
      <c r="G9" s="18" t="n">
        <v>71.35414822</v>
      </c>
      <c r="H9" s="20" t="n">
        <v>1.98440969</v>
      </c>
      <c r="I9" s="18" t="s">
        <v>349</v>
      </c>
      <c r="J9" s="20" t="s">
        <v>349</v>
      </c>
      <c r="K9" s="18" t="n">
        <v>0.08322236</v>
      </c>
      <c r="L9" s="20" t="n">
        <v>0.08290198999999999</v>
      </c>
      <c r="M9" s="18" t="n">
        <v>0</v>
      </c>
      <c r="N9" s="20" t="n">
        <v>0</v>
      </c>
      <c r="O9" s="18" t="n">
        <v>0</v>
      </c>
      <c r="P9" s="20" t="n">
        <v>0</v>
      </c>
      <c r="Q9" s="18" t="n">
        <v>1.8968781</v>
      </c>
      <c r="R9" s="20" t="n">
        <v>0.63155667</v>
      </c>
    </row>
    <row r="10" spans="1:18">
      <c r="A10" s="15" t="s">
        <v>352</v>
      </c>
      <c r="B10" s="17" t="n">
        <v>10022</v>
      </c>
      <c r="C10" s="18">
        <f>(8778.0/B10*100)</f>
        <v/>
      </c>
      <c r="D10" s="19" t="n">
        <v>1244</v>
      </c>
      <c r="E10" s="18" t="n">
        <v>17.14858933</v>
      </c>
      <c r="F10" s="20" t="n">
        <v>1.49003275</v>
      </c>
      <c r="G10" s="18" t="n">
        <v>82.05337292</v>
      </c>
      <c r="H10" s="20" t="n">
        <v>1.47730878</v>
      </c>
      <c r="I10" s="18" t="s">
        <v>349</v>
      </c>
      <c r="J10" s="20" t="s">
        <v>349</v>
      </c>
      <c r="K10" s="18" t="n">
        <v>0.12343901</v>
      </c>
      <c r="L10" s="20" t="n">
        <v>0.12184985</v>
      </c>
      <c r="M10" s="18" t="n">
        <v>0</v>
      </c>
      <c r="N10" s="20" t="n">
        <v>0</v>
      </c>
      <c r="O10" s="18" t="n">
        <v>0</v>
      </c>
      <c r="P10" s="20" t="n">
        <v>0</v>
      </c>
      <c r="Q10" s="18" t="n">
        <v>0.67459873</v>
      </c>
      <c r="R10" s="20" t="n">
        <v>0.3896101</v>
      </c>
    </row>
    <row r="11" spans="1:18">
      <c r="A11" s="15" t="s">
        <v>353</v>
      </c>
      <c r="B11" s="17" t="n">
        <v>3500</v>
      </c>
      <c r="C11" s="18">
        <f>(3075.0/B11*100)</f>
        <v/>
      </c>
      <c r="D11" s="19" t="n">
        <v>425</v>
      </c>
      <c r="E11" s="18" t="n">
        <v>28.36577697</v>
      </c>
      <c r="F11" s="20" t="n">
        <v>2.54838658</v>
      </c>
      <c r="G11" s="18" t="n">
        <v>67.92328904999999</v>
      </c>
      <c r="H11" s="20" t="n">
        <v>2.73583342</v>
      </c>
      <c r="I11" s="18" t="s">
        <v>349</v>
      </c>
      <c r="J11" s="20" t="s">
        <v>349</v>
      </c>
      <c r="K11" s="18" t="n">
        <v>0.28428409</v>
      </c>
      <c r="L11" s="20" t="n">
        <v>0.20898291</v>
      </c>
      <c r="M11" s="18" t="n">
        <v>0</v>
      </c>
      <c r="N11" s="20" t="n">
        <v>0</v>
      </c>
      <c r="O11" s="18" t="n">
        <v>0</v>
      </c>
      <c r="P11" s="20" t="n">
        <v>0</v>
      </c>
      <c r="Q11" s="18" t="n">
        <v>3.42664989</v>
      </c>
      <c r="R11" s="20" t="n">
        <v>1.13510238</v>
      </c>
    </row>
    <row r="12" spans="1:18">
      <c r="A12" s="15" t="s">
        <v>354</v>
      </c>
      <c r="B12" s="17" t="n">
        <v>3422</v>
      </c>
      <c r="C12" s="18">
        <f>(3008.0/B12*100)</f>
        <v/>
      </c>
      <c r="D12" s="19" t="n">
        <v>414</v>
      </c>
      <c r="E12" s="18" t="n">
        <v>20.70749707</v>
      </c>
      <c r="F12" s="20" t="n">
        <v>2.21410852</v>
      </c>
      <c r="G12" s="18" t="n">
        <v>77.48962512999999</v>
      </c>
      <c r="H12" s="20" t="n">
        <v>2.2207318</v>
      </c>
      <c r="I12" s="18" t="s">
        <v>349</v>
      </c>
      <c r="J12" s="20" t="s">
        <v>349</v>
      </c>
      <c r="K12" s="18" t="n">
        <v>0</v>
      </c>
      <c r="L12" s="20" t="n">
        <v>0</v>
      </c>
      <c r="M12" s="18" t="n">
        <v>0</v>
      </c>
      <c r="N12" s="20" t="n">
        <v>0</v>
      </c>
      <c r="O12" s="18" t="n">
        <v>0</v>
      </c>
      <c r="P12" s="20" t="n">
        <v>0</v>
      </c>
      <c r="Q12" s="18" t="n">
        <v>1.8028778</v>
      </c>
      <c r="R12" s="20" t="n">
        <v>0.82966481</v>
      </c>
    </row>
    <row r="13" spans="1:18">
      <c r="A13" s="15" t="s">
        <v>355</v>
      </c>
      <c r="B13" s="17" t="n">
        <v>3602</v>
      </c>
      <c r="C13" s="18">
        <f>(3194.0/B13*100)</f>
        <v/>
      </c>
      <c r="D13" s="19" t="n">
        <v>408</v>
      </c>
      <c r="E13" s="18" t="n">
        <v>17.57890984</v>
      </c>
      <c r="F13" s="20" t="n">
        <v>2.0098953</v>
      </c>
      <c r="G13" s="18" t="n">
        <v>79.69599220000001</v>
      </c>
      <c r="H13" s="20" t="n">
        <v>2.47653659</v>
      </c>
      <c r="I13" s="18" t="s">
        <v>349</v>
      </c>
      <c r="J13" s="20" t="s">
        <v>349</v>
      </c>
      <c r="K13" s="18" t="n">
        <v>1.55364742</v>
      </c>
      <c r="L13" s="20" t="n">
        <v>0.96164965</v>
      </c>
      <c r="M13" s="18" t="n">
        <v>0</v>
      </c>
      <c r="N13" s="20" t="n">
        <v>0</v>
      </c>
      <c r="O13" s="18" t="n">
        <v>0</v>
      </c>
      <c r="P13" s="20" t="n">
        <v>0</v>
      </c>
      <c r="Q13" s="18" t="n">
        <v>1.17145054</v>
      </c>
      <c r="R13" s="20" t="n">
        <v>0.3560589</v>
      </c>
    </row>
    <row r="14" spans="1:18">
      <c r="A14" s="15" t="s">
        <v>356</v>
      </c>
      <c r="B14" s="17" t="n">
        <v>2788</v>
      </c>
      <c r="C14" s="18">
        <f>(2436.0/B14*100)</f>
        <v/>
      </c>
      <c r="D14" s="19" t="n">
        <v>352</v>
      </c>
      <c r="E14" s="18" t="n">
        <v>23.99808386</v>
      </c>
      <c r="F14" s="20" t="n">
        <v>2.4265447</v>
      </c>
      <c r="G14" s="18" t="n">
        <v>75.52855537000001</v>
      </c>
      <c r="H14" s="20" t="n">
        <v>2.46579512</v>
      </c>
      <c r="I14" s="18" t="s">
        <v>349</v>
      </c>
      <c r="J14" s="20" t="s">
        <v>349</v>
      </c>
      <c r="K14" s="18" t="n">
        <v>0</v>
      </c>
      <c r="L14" s="20" t="n">
        <v>0</v>
      </c>
      <c r="M14" s="18" t="n">
        <v>0</v>
      </c>
      <c r="N14" s="20" t="n">
        <v>0</v>
      </c>
      <c r="O14" s="18" t="n">
        <v>0</v>
      </c>
      <c r="P14" s="20" t="n">
        <v>0</v>
      </c>
      <c r="Q14" s="18" t="n">
        <v>0.47336077</v>
      </c>
      <c r="R14" s="20" t="n">
        <v>0.32937697</v>
      </c>
    </row>
    <row r="15" spans="1:18">
      <c r="A15" s="15" t="s">
        <v>357</v>
      </c>
      <c r="B15" s="17" t="n">
        <v>2863</v>
      </c>
      <c r="C15" s="18">
        <f>(2534.0/B15*100)</f>
        <v/>
      </c>
      <c r="D15" s="19" t="n">
        <v>329</v>
      </c>
      <c r="E15" s="18" t="n">
        <v>22.2308813</v>
      </c>
      <c r="F15" s="20" t="n">
        <v>2.41546381</v>
      </c>
      <c r="G15" s="18" t="n">
        <v>76.08478447</v>
      </c>
      <c r="H15" s="20" t="n">
        <v>2.50587167</v>
      </c>
      <c r="I15" s="18" t="s">
        <v>349</v>
      </c>
      <c r="J15" s="20" t="s">
        <v>349</v>
      </c>
      <c r="K15" s="18" t="n">
        <v>0.29475467</v>
      </c>
      <c r="L15" s="20" t="n">
        <v>0.29583835</v>
      </c>
      <c r="M15" s="18" t="n">
        <v>0</v>
      </c>
      <c r="N15" s="20" t="n">
        <v>0</v>
      </c>
      <c r="O15" s="18" t="n">
        <v>0</v>
      </c>
      <c r="P15" s="20" t="n">
        <v>0</v>
      </c>
      <c r="Q15" s="18" t="n">
        <v>1.38957956</v>
      </c>
      <c r="R15" s="20" t="n">
        <v>0.62517883</v>
      </c>
    </row>
    <row r="16" spans="1:18">
      <c r="A16" s="15" t="s">
        <v>358</v>
      </c>
      <c r="B16" s="17" t="n">
        <v>3111</v>
      </c>
      <c r="C16" s="18">
        <f>(2743.0/B16*100)</f>
        <v/>
      </c>
      <c r="D16" s="19" t="n">
        <v>368</v>
      </c>
      <c r="E16" s="18" t="n">
        <v>25.78475097</v>
      </c>
      <c r="F16" s="20" t="n">
        <v>2.04607233</v>
      </c>
      <c r="G16" s="18" t="n">
        <v>71.71413862</v>
      </c>
      <c r="H16" s="20" t="n">
        <v>2.09362169</v>
      </c>
      <c r="I16" s="18" t="s">
        <v>349</v>
      </c>
      <c r="J16" s="20" t="s">
        <v>349</v>
      </c>
      <c r="K16" s="18" t="n">
        <v>0</v>
      </c>
      <c r="L16" s="20" t="n">
        <v>0</v>
      </c>
      <c r="M16" s="18" t="n">
        <v>0</v>
      </c>
      <c r="N16" s="20" t="n">
        <v>0</v>
      </c>
      <c r="O16" s="18" t="n">
        <v>0</v>
      </c>
      <c r="P16" s="20" t="n">
        <v>0</v>
      </c>
      <c r="Q16" s="18" t="n">
        <v>2.50111041</v>
      </c>
      <c r="R16" s="20" t="n">
        <v>0.7654173</v>
      </c>
    </row>
    <row r="17" spans="1:18">
      <c r="A17" s="15" t="s">
        <v>359</v>
      </c>
      <c r="B17" s="17" t="n">
        <v>3197</v>
      </c>
      <c r="C17" s="18">
        <f>(2835.0/B17*100)</f>
        <v/>
      </c>
      <c r="D17" s="19" t="n">
        <v>362</v>
      </c>
      <c r="E17" s="18" t="n">
        <v>23.96252635</v>
      </c>
      <c r="F17" s="20" t="n">
        <v>2.55934243</v>
      </c>
      <c r="G17" s="18" t="n">
        <v>74.45986360000001</v>
      </c>
      <c r="H17" s="20" t="n">
        <v>2.6337189</v>
      </c>
      <c r="I17" s="18" t="s">
        <v>349</v>
      </c>
      <c r="J17" s="20" t="s">
        <v>349</v>
      </c>
      <c r="K17" s="18" t="n">
        <v>0</v>
      </c>
      <c r="L17" s="20" t="n">
        <v>0</v>
      </c>
      <c r="M17" s="18" t="n">
        <v>0</v>
      </c>
      <c r="N17" s="20" t="n">
        <v>0</v>
      </c>
      <c r="O17" s="18" t="n">
        <v>0</v>
      </c>
      <c r="P17" s="20" t="n">
        <v>0</v>
      </c>
      <c r="Q17" s="18" t="n">
        <v>1.57761005</v>
      </c>
      <c r="R17" s="20" t="n">
        <v>0.70986803</v>
      </c>
    </row>
    <row r="18" spans="1:18">
      <c r="A18" s="15" t="s">
        <v>360</v>
      </c>
      <c r="B18" s="17" t="n">
        <v>2706</v>
      </c>
      <c r="C18" s="18">
        <f>(2377.0/B18*100)</f>
        <v/>
      </c>
      <c r="D18" s="19" t="n">
        <v>329</v>
      </c>
      <c r="E18" s="18" t="n">
        <v>34.63843856</v>
      </c>
      <c r="F18" s="20" t="n">
        <v>2.51414279</v>
      </c>
      <c r="G18" s="18" t="n">
        <v>63.89467765</v>
      </c>
      <c r="H18" s="20" t="n">
        <v>2.65355641</v>
      </c>
      <c r="I18" s="18" t="s">
        <v>349</v>
      </c>
      <c r="J18" s="20" t="s">
        <v>349</v>
      </c>
      <c r="K18" s="18" t="n">
        <v>0.35119133</v>
      </c>
      <c r="L18" s="20" t="n">
        <v>0.34598795</v>
      </c>
      <c r="M18" s="18" t="n">
        <v>0</v>
      </c>
      <c r="N18" s="20" t="n">
        <v>0</v>
      </c>
      <c r="O18" s="18" t="n">
        <v>0</v>
      </c>
      <c r="P18" s="20" t="n">
        <v>0</v>
      </c>
      <c r="Q18" s="18" t="n">
        <v>1.11569247</v>
      </c>
      <c r="R18" s="20" t="n">
        <v>0.58042879</v>
      </c>
    </row>
    <row r="19" spans="1:18">
      <c r="A19" s="15" t="s">
        <v>361</v>
      </c>
      <c r="B19" s="17" t="n">
        <v>2850</v>
      </c>
      <c r="C19" s="18">
        <f>(2504.0/B19*100)</f>
        <v/>
      </c>
      <c r="D19" s="19" t="n">
        <v>346</v>
      </c>
      <c r="E19" s="18" t="n">
        <v>27.81198722</v>
      </c>
      <c r="F19" s="20" t="n">
        <v>2.78578537</v>
      </c>
      <c r="G19" s="18" t="n">
        <v>69.0708132</v>
      </c>
      <c r="H19" s="20" t="n">
        <v>2.85710872</v>
      </c>
      <c r="I19" s="18" t="s">
        <v>349</v>
      </c>
      <c r="J19" s="20" t="s">
        <v>349</v>
      </c>
      <c r="K19" s="18" t="n">
        <v>0</v>
      </c>
      <c r="L19" s="20" t="n">
        <v>0</v>
      </c>
      <c r="M19" s="18" t="n">
        <v>0</v>
      </c>
      <c r="N19" s="20" t="n">
        <v>0</v>
      </c>
      <c r="O19" s="18" t="n">
        <v>0</v>
      </c>
      <c r="P19" s="20" t="n">
        <v>0</v>
      </c>
      <c r="Q19" s="18" t="n">
        <v>3.11719958</v>
      </c>
      <c r="R19" s="20" t="n">
        <v>1.12437206</v>
      </c>
    </row>
    <row r="20" spans="1:18">
      <c r="A20" s="15" t="s">
        <v>362</v>
      </c>
      <c r="B20" s="17" t="n">
        <v>1741</v>
      </c>
      <c r="C20" s="18">
        <f>(1527.0/B20*100)</f>
        <v/>
      </c>
      <c r="D20" s="19" t="n">
        <v>214</v>
      </c>
      <c r="E20" s="18" t="n">
        <v>25.81939657</v>
      </c>
      <c r="F20" s="20" t="n">
        <v>2.72626216</v>
      </c>
      <c r="G20" s="18" t="n">
        <v>72.68615756</v>
      </c>
      <c r="H20" s="20" t="n">
        <v>2.69956163</v>
      </c>
      <c r="I20" s="18" t="s">
        <v>349</v>
      </c>
      <c r="J20" s="20" t="s">
        <v>349</v>
      </c>
      <c r="K20" s="18" t="n">
        <v>0</v>
      </c>
      <c r="L20" s="20" t="n">
        <v>0</v>
      </c>
      <c r="M20" s="18" t="n">
        <v>0</v>
      </c>
      <c r="N20" s="20" t="n">
        <v>0</v>
      </c>
      <c r="O20" s="18" t="n">
        <v>0</v>
      </c>
      <c r="P20" s="20" t="n">
        <v>0</v>
      </c>
      <c r="Q20" s="18" t="n">
        <v>1.49444587</v>
      </c>
      <c r="R20" s="20" t="n">
        <v>0.8813869600000001</v>
      </c>
    </row>
    <row r="21" spans="1:18">
      <c r="A21" s="15" t="s">
        <v>363</v>
      </c>
      <c r="B21" s="17" t="n">
        <v>2833</v>
      </c>
      <c r="C21" s="18">
        <f>(2349.0/B21*100)</f>
        <v/>
      </c>
      <c r="D21" s="19" t="n">
        <v>484</v>
      </c>
      <c r="E21" s="18" t="n">
        <v>24.80281267</v>
      </c>
      <c r="F21" s="20" t="n">
        <v>2.01648224</v>
      </c>
      <c r="G21" s="18" t="n">
        <v>74.95478185</v>
      </c>
      <c r="H21" s="20" t="n">
        <v>1.98745582</v>
      </c>
      <c r="I21" s="18" t="s">
        <v>349</v>
      </c>
      <c r="J21" s="20" t="s">
        <v>349</v>
      </c>
      <c r="K21" s="18" t="n">
        <v>0</v>
      </c>
      <c r="L21" s="20" t="n">
        <v>0</v>
      </c>
      <c r="M21" s="18" t="n">
        <v>0</v>
      </c>
      <c r="N21" s="20" t="n">
        <v>0</v>
      </c>
      <c r="O21" s="18" t="n">
        <v>0</v>
      </c>
      <c r="P21" s="20" t="n">
        <v>0</v>
      </c>
      <c r="Q21" s="18" t="n">
        <v>0.24240548</v>
      </c>
      <c r="R21" s="20" t="n">
        <v>0.2409726</v>
      </c>
    </row>
    <row r="22" spans="1:18">
      <c r="A22" s="15" t="s">
        <v>364</v>
      </c>
      <c r="B22" s="17" t="n">
        <v>3667</v>
      </c>
      <c r="C22" s="18">
        <f>(3180.0/B22*100)</f>
        <v/>
      </c>
      <c r="D22" s="19" t="n">
        <v>487</v>
      </c>
      <c r="E22" s="18" t="n">
        <v>27.97673773</v>
      </c>
      <c r="F22" s="20" t="n">
        <v>2.3950561</v>
      </c>
      <c r="G22" s="18" t="n">
        <v>67.98587787</v>
      </c>
      <c r="H22" s="20" t="n">
        <v>2.25446723</v>
      </c>
      <c r="I22" s="18" t="s">
        <v>349</v>
      </c>
      <c r="J22" s="20" t="s">
        <v>349</v>
      </c>
      <c r="K22" s="18" t="n">
        <v>0.7770262999999999</v>
      </c>
      <c r="L22" s="20" t="n">
        <v>0.39052006</v>
      </c>
      <c r="M22" s="18" t="n">
        <v>0</v>
      </c>
      <c r="N22" s="20" t="n">
        <v>0</v>
      </c>
      <c r="O22" s="18" t="n">
        <v>0</v>
      </c>
      <c r="P22" s="20" t="n">
        <v>0</v>
      </c>
      <c r="Q22" s="18" t="n">
        <v>3.2603581</v>
      </c>
      <c r="R22" s="20" t="n">
        <v>0.75901369</v>
      </c>
    </row>
    <row r="23" spans="1:18">
      <c r="A23" s="15" t="s">
        <v>365</v>
      </c>
      <c r="B23" s="17" t="n">
        <v>5792</v>
      </c>
      <c r="C23" s="18">
        <f>(5083.0/B23*100)</f>
        <v/>
      </c>
      <c r="D23" s="19" t="n">
        <v>709</v>
      </c>
      <c r="E23" s="18" t="n">
        <v>29.94937576</v>
      </c>
      <c r="F23" s="20" t="n">
        <v>2.57654129</v>
      </c>
      <c r="G23" s="18" t="n">
        <v>66.17217361</v>
      </c>
      <c r="H23" s="20" t="n">
        <v>2.44690037</v>
      </c>
      <c r="I23" s="18" t="s">
        <v>349</v>
      </c>
      <c r="J23" s="20" t="s">
        <v>349</v>
      </c>
      <c r="K23" s="18" t="n">
        <v>0.39688482</v>
      </c>
      <c r="L23" s="20" t="n">
        <v>0.2876806</v>
      </c>
      <c r="M23" s="18" t="n">
        <v>0</v>
      </c>
      <c r="N23" s="20" t="n">
        <v>0</v>
      </c>
      <c r="O23" s="18" t="n">
        <v>0</v>
      </c>
      <c r="P23" s="20" t="n">
        <v>0</v>
      </c>
      <c r="Q23" s="18" t="n">
        <v>3.48156581</v>
      </c>
      <c r="R23" s="20" t="n">
        <v>1.01706105</v>
      </c>
    </row>
    <row r="24" spans="1:18">
      <c r="A24" s="15" t="s">
        <v>366</v>
      </c>
      <c r="B24" s="17" t="n">
        <v>3309</v>
      </c>
      <c r="C24" s="18">
        <f>(2908.0/B24*100)</f>
        <v/>
      </c>
      <c r="D24" s="19" t="n">
        <v>401</v>
      </c>
      <c r="E24" s="18" t="n">
        <v>17.82077234</v>
      </c>
      <c r="F24" s="20" t="n">
        <v>1.97640015</v>
      </c>
      <c r="G24" s="18" t="n">
        <v>81.5501587</v>
      </c>
      <c r="H24" s="20" t="n">
        <v>2.0134144</v>
      </c>
      <c r="I24" s="18" t="s">
        <v>349</v>
      </c>
      <c r="J24" s="20" t="s">
        <v>349</v>
      </c>
      <c r="K24" s="18" t="n">
        <v>0</v>
      </c>
      <c r="L24" s="20" t="n">
        <v>0</v>
      </c>
      <c r="M24" s="18" t="n">
        <v>0</v>
      </c>
      <c r="N24" s="20" t="n">
        <v>0</v>
      </c>
      <c r="O24" s="18" t="n">
        <v>0</v>
      </c>
      <c r="P24" s="20" t="n">
        <v>0</v>
      </c>
      <c r="Q24" s="18" t="n">
        <v>0.62906896</v>
      </c>
      <c r="R24" s="20" t="n">
        <v>0.37987012</v>
      </c>
    </row>
    <row r="25" spans="1:18">
      <c r="A25" s="15" t="s">
        <v>367</v>
      </c>
      <c r="B25" s="17" t="n">
        <v>2669</v>
      </c>
      <c r="C25" s="18">
        <f>(2338.0/B25*100)</f>
        <v/>
      </c>
      <c r="D25" s="19" t="n">
        <v>331</v>
      </c>
      <c r="E25" s="18" t="n">
        <v>15.63415066</v>
      </c>
      <c r="F25" s="20" t="n">
        <v>2.14647155</v>
      </c>
      <c r="G25" s="18" t="n">
        <v>82.8381773</v>
      </c>
      <c r="H25" s="20" t="n">
        <v>2.16692035</v>
      </c>
      <c r="I25" s="18" t="s">
        <v>349</v>
      </c>
      <c r="J25" s="20" t="s">
        <v>349</v>
      </c>
      <c r="K25" s="18" t="n">
        <v>0.27478707</v>
      </c>
      <c r="L25" s="20" t="n">
        <v>0.38770941</v>
      </c>
      <c r="M25" s="18" t="n">
        <v>0</v>
      </c>
      <c r="N25" s="20" t="n">
        <v>0</v>
      </c>
      <c r="O25" s="18" t="n">
        <v>0</v>
      </c>
      <c r="P25" s="20" t="n">
        <v>0</v>
      </c>
      <c r="Q25" s="18" t="n">
        <v>1.25288498</v>
      </c>
      <c r="R25" s="20" t="n">
        <v>0.75691882</v>
      </c>
    </row>
    <row r="26" spans="1:18">
      <c r="A26" s="15" t="s">
        <v>368</v>
      </c>
      <c r="B26" s="17" t="n">
        <v>2419</v>
      </c>
      <c r="C26" s="18">
        <f>(2125.0/B26*100)</f>
        <v/>
      </c>
      <c r="D26" s="19" t="n">
        <v>294</v>
      </c>
      <c r="E26" s="18" t="n">
        <v>30.05413997</v>
      </c>
      <c r="F26" s="20" t="n">
        <v>2.77921197</v>
      </c>
      <c r="G26" s="18" t="n">
        <v>69.66117058</v>
      </c>
      <c r="H26" s="20" t="n">
        <v>2.76380042</v>
      </c>
      <c r="I26" s="18" t="s">
        <v>349</v>
      </c>
      <c r="J26" s="20" t="s">
        <v>349</v>
      </c>
      <c r="K26" s="18" t="n">
        <v>0</v>
      </c>
      <c r="L26" s="20" t="n">
        <v>0</v>
      </c>
      <c r="M26" s="18" t="n">
        <v>0</v>
      </c>
      <c r="N26" s="20" t="n">
        <v>0</v>
      </c>
      <c r="O26" s="18" t="n">
        <v>0</v>
      </c>
      <c r="P26" s="20" t="n">
        <v>0</v>
      </c>
      <c r="Q26" s="18" t="n">
        <v>0.28468945</v>
      </c>
      <c r="R26" s="20" t="n">
        <v>0.28905652</v>
      </c>
    </row>
    <row r="27" spans="1:18">
      <c r="A27" s="15" t="s">
        <v>369</v>
      </c>
      <c r="B27" s="17" t="n">
        <v>2683</v>
      </c>
      <c r="C27" s="18">
        <f>(2357.0/B27*100)</f>
        <v/>
      </c>
      <c r="D27" s="19" t="n">
        <v>326</v>
      </c>
      <c r="E27" s="18" t="n">
        <v>26.49268313</v>
      </c>
      <c r="F27" s="20" t="n">
        <v>2.59953969</v>
      </c>
      <c r="G27" s="18" t="n">
        <v>72.8685268</v>
      </c>
      <c r="H27" s="20" t="n">
        <v>2.62560777</v>
      </c>
      <c r="I27" s="18" t="s">
        <v>349</v>
      </c>
      <c r="J27" s="20" t="s">
        <v>349</v>
      </c>
      <c r="K27" s="18" t="n">
        <v>0</v>
      </c>
      <c r="L27" s="20" t="n">
        <v>0</v>
      </c>
      <c r="M27" s="18" t="n">
        <v>0</v>
      </c>
      <c r="N27" s="20" t="n">
        <v>0</v>
      </c>
      <c r="O27" s="18" t="n">
        <v>0</v>
      </c>
      <c r="P27" s="20" t="n">
        <v>0</v>
      </c>
      <c r="Q27" s="18" t="n">
        <v>0.63879007</v>
      </c>
      <c r="R27" s="20" t="n">
        <v>0.45847726</v>
      </c>
    </row>
    <row r="28" spans="1:18">
      <c r="A28" s="15" t="s">
        <v>370</v>
      </c>
      <c r="B28" s="17" t="n">
        <v>3803</v>
      </c>
      <c r="C28" s="18">
        <f>(3353.0/B28*100)</f>
        <v/>
      </c>
      <c r="D28" s="19" t="n">
        <v>450</v>
      </c>
      <c r="E28" s="18" t="n">
        <v>45.65406863</v>
      </c>
      <c r="F28" s="20" t="n">
        <v>2.4617107</v>
      </c>
      <c r="G28" s="18" t="n">
        <v>53.68902607</v>
      </c>
      <c r="H28" s="20" t="n">
        <v>2.43696861</v>
      </c>
      <c r="I28" s="18" t="s">
        <v>349</v>
      </c>
      <c r="J28" s="20" t="s">
        <v>349</v>
      </c>
      <c r="K28" s="18" t="n">
        <v>0</v>
      </c>
      <c r="L28" s="20" t="n">
        <v>0</v>
      </c>
      <c r="M28" s="18" t="n">
        <v>0</v>
      </c>
      <c r="N28" s="20" t="n">
        <v>0</v>
      </c>
      <c r="O28" s="18" t="n">
        <v>0</v>
      </c>
      <c r="P28" s="20" t="n">
        <v>0</v>
      </c>
      <c r="Q28" s="18" t="n">
        <v>0.65690529</v>
      </c>
      <c r="R28" s="20" t="n">
        <v>0.38199252</v>
      </c>
    </row>
    <row r="29" spans="1:18">
      <c r="A29" s="15" t="s">
        <v>371</v>
      </c>
      <c r="B29" s="17" t="n">
        <v>2700</v>
      </c>
      <c r="C29" s="18">
        <f>(2327.0/B29*100)</f>
        <v/>
      </c>
      <c r="D29" s="19" t="n">
        <v>373</v>
      </c>
      <c r="E29" s="18" t="n">
        <v>26.68373149</v>
      </c>
      <c r="F29" s="20" t="n">
        <v>2.68632073</v>
      </c>
      <c r="G29" s="18" t="n">
        <v>72.43802959</v>
      </c>
      <c r="H29" s="20" t="n">
        <v>2.74129604</v>
      </c>
      <c r="I29" s="18" t="s">
        <v>349</v>
      </c>
      <c r="J29" s="20" t="s">
        <v>349</v>
      </c>
      <c r="K29" s="18" t="n">
        <v>0.87823892</v>
      </c>
      <c r="L29" s="20" t="n">
        <v>0.44433897</v>
      </c>
      <c r="M29" s="18" t="n">
        <v>0</v>
      </c>
      <c r="N29" s="20" t="n">
        <v>0</v>
      </c>
      <c r="O29" s="18" t="n">
        <v>0</v>
      </c>
      <c r="P29" s="20" t="n">
        <v>0</v>
      </c>
      <c r="Q29" s="18" t="n">
        <v>0</v>
      </c>
      <c r="R29" s="20" t="n">
        <v>0</v>
      </c>
    </row>
    <row r="30" spans="1:18">
      <c r="A30" s="15" t="s">
        <v>372</v>
      </c>
      <c r="B30" s="17" t="n">
        <v>2257</v>
      </c>
      <c r="C30" s="18">
        <f>(1975.0/B30*100)</f>
        <v/>
      </c>
      <c r="D30" s="19" t="n">
        <v>282</v>
      </c>
      <c r="E30" s="18" t="n">
        <v>21.2282787</v>
      </c>
      <c r="F30" s="20" t="n">
        <v>2.4446896</v>
      </c>
      <c r="G30" s="18" t="n">
        <v>76.89167191</v>
      </c>
      <c r="H30" s="20" t="n">
        <v>2.61956407</v>
      </c>
      <c r="I30" s="18" t="s">
        <v>349</v>
      </c>
      <c r="J30" s="20" t="s">
        <v>349</v>
      </c>
      <c r="K30" s="18" t="n">
        <v>0</v>
      </c>
      <c r="L30" s="20" t="n">
        <v>0</v>
      </c>
      <c r="M30" s="18" t="n">
        <v>0</v>
      </c>
      <c r="N30" s="20" t="n">
        <v>0</v>
      </c>
      <c r="O30" s="18" t="n">
        <v>0</v>
      </c>
      <c r="P30" s="20" t="n">
        <v>0</v>
      </c>
      <c r="Q30" s="18" t="n">
        <v>1.88004939</v>
      </c>
      <c r="R30" s="20" t="n">
        <v>0.85675199</v>
      </c>
    </row>
    <row r="31" spans="1:18">
      <c r="A31" s="15" t="s">
        <v>373</v>
      </c>
      <c r="B31" s="17" t="n">
        <v>2706</v>
      </c>
      <c r="C31" s="18">
        <f>(2387.0/B31*100)</f>
        <v/>
      </c>
      <c r="D31" s="19" t="n">
        <v>319</v>
      </c>
      <c r="E31" s="18" t="n">
        <v>17.13044275</v>
      </c>
      <c r="F31" s="20" t="n">
        <v>2.19655564</v>
      </c>
      <c r="G31" s="18" t="n">
        <v>79.32318712999999</v>
      </c>
      <c r="H31" s="20" t="n">
        <v>2.29605752</v>
      </c>
      <c r="I31" s="18" t="s">
        <v>349</v>
      </c>
      <c r="J31" s="20" t="s">
        <v>349</v>
      </c>
      <c r="K31" s="18" t="n">
        <v>0.7417015</v>
      </c>
      <c r="L31" s="20" t="n">
        <v>0.59022</v>
      </c>
      <c r="M31" s="18" t="n">
        <v>0</v>
      </c>
      <c r="N31" s="20" t="n">
        <v>0</v>
      </c>
      <c r="O31" s="18" t="n">
        <v>0</v>
      </c>
      <c r="P31" s="20" t="n">
        <v>0</v>
      </c>
      <c r="Q31" s="18" t="n">
        <v>2.80466863</v>
      </c>
      <c r="R31" s="20" t="n">
        <v>1.09502261</v>
      </c>
    </row>
    <row r="32" spans="1:18">
      <c r="A32" s="15" t="s">
        <v>374</v>
      </c>
      <c r="B32" s="17" t="n">
        <v>2209</v>
      </c>
      <c r="C32" s="18">
        <f>(1850.0/B32*100)</f>
        <v/>
      </c>
      <c r="D32" s="19" t="n">
        <v>359</v>
      </c>
      <c r="E32" s="18" t="n">
        <v>26.57030294</v>
      </c>
      <c r="F32" s="20" t="n">
        <v>2.59574621</v>
      </c>
      <c r="G32" s="18" t="n">
        <v>71.73029577</v>
      </c>
      <c r="H32" s="20" t="n">
        <v>2.62033201</v>
      </c>
      <c r="I32" s="18" t="s">
        <v>349</v>
      </c>
      <c r="J32" s="20" t="s">
        <v>349</v>
      </c>
      <c r="K32" s="18" t="n">
        <v>0.27905418</v>
      </c>
      <c r="L32" s="20" t="n">
        <v>0.278814</v>
      </c>
      <c r="M32" s="18" t="n">
        <v>0</v>
      </c>
      <c r="N32" s="20" t="n">
        <v>0</v>
      </c>
      <c r="O32" s="18" t="n">
        <v>0</v>
      </c>
      <c r="P32" s="20" t="n">
        <v>0</v>
      </c>
      <c r="Q32" s="18" t="n">
        <v>1.42034711</v>
      </c>
      <c r="R32" s="20" t="n">
        <v>0.63096836</v>
      </c>
    </row>
    <row r="33" spans="1:18">
      <c r="A33" s="15" t="s">
        <v>375</v>
      </c>
      <c r="B33" s="17" t="n">
        <v>3651</v>
      </c>
      <c r="C33" s="18">
        <f>(3212.0/B33*100)</f>
        <v/>
      </c>
      <c r="D33" s="19" t="n">
        <v>439</v>
      </c>
      <c r="E33" s="18" t="n">
        <v>32.76041072</v>
      </c>
      <c r="F33" s="20" t="n">
        <v>2.79846622</v>
      </c>
      <c r="G33" s="18" t="n">
        <v>65.51862731</v>
      </c>
      <c r="H33" s="20" t="n">
        <v>2.78187912</v>
      </c>
      <c r="I33" s="18" t="s">
        <v>349</v>
      </c>
      <c r="J33" s="20" t="s">
        <v>349</v>
      </c>
      <c r="K33" s="18" t="n">
        <v>0</v>
      </c>
      <c r="L33" s="20" t="n">
        <v>0</v>
      </c>
      <c r="M33" s="18" t="n">
        <v>0</v>
      </c>
      <c r="N33" s="20" t="n">
        <v>0</v>
      </c>
      <c r="O33" s="18" t="n">
        <v>0</v>
      </c>
      <c r="P33" s="20" t="n">
        <v>0</v>
      </c>
      <c r="Q33" s="18" t="n">
        <v>1.72096198</v>
      </c>
      <c r="R33" s="20" t="n">
        <v>0.92742738</v>
      </c>
    </row>
    <row r="34" spans="1:18">
      <c r="A34" s="15" t="s">
        <v>376</v>
      </c>
      <c r="B34" s="17" t="n">
        <v>3035</v>
      </c>
      <c r="C34" s="18">
        <f>(2650.0/B34*100)</f>
        <v/>
      </c>
      <c r="D34" s="19" t="n">
        <v>385</v>
      </c>
      <c r="E34" s="18" t="n">
        <v>28.53814227</v>
      </c>
      <c r="F34" s="20" t="n">
        <v>2.91026958</v>
      </c>
      <c r="G34" s="18" t="n">
        <v>68.36625995999999</v>
      </c>
      <c r="H34" s="20" t="n">
        <v>3.05123362</v>
      </c>
      <c r="I34" s="18" t="s">
        <v>349</v>
      </c>
      <c r="J34" s="20" t="s">
        <v>349</v>
      </c>
      <c r="K34" s="18" t="n">
        <v>0.28366125</v>
      </c>
      <c r="L34" s="20" t="n">
        <v>0.28308002</v>
      </c>
      <c r="M34" s="18" t="n">
        <v>0</v>
      </c>
      <c r="N34" s="20" t="n">
        <v>0</v>
      </c>
      <c r="O34" s="18" t="n">
        <v>0</v>
      </c>
      <c r="P34" s="20" t="n">
        <v>0</v>
      </c>
      <c r="Q34" s="18" t="n">
        <v>2.81193652</v>
      </c>
      <c r="R34" s="20" t="n">
        <v>1.01880711</v>
      </c>
    </row>
    <row r="35" spans="1:18">
      <c r="A35" s="15" t="s">
        <v>377</v>
      </c>
      <c r="B35" s="17" t="n">
        <v>2901</v>
      </c>
      <c r="C35" s="18">
        <f>(2551.0/B35*100)</f>
        <v/>
      </c>
      <c r="D35" s="19" t="n">
        <v>350</v>
      </c>
      <c r="E35" s="18" t="n">
        <v>22.77345862</v>
      </c>
      <c r="F35" s="20" t="n">
        <v>2.47544512</v>
      </c>
      <c r="G35" s="18" t="n">
        <v>75.2712392</v>
      </c>
      <c r="H35" s="20" t="n">
        <v>2.62673316</v>
      </c>
      <c r="I35" s="18" t="s">
        <v>349</v>
      </c>
      <c r="J35" s="20" t="s">
        <v>349</v>
      </c>
      <c r="K35" s="18" t="n">
        <v>0</v>
      </c>
      <c r="L35" s="20" t="n">
        <v>0</v>
      </c>
      <c r="M35" s="18" t="n">
        <v>0</v>
      </c>
      <c r="N35" s="20" t="n">
        <v>0</v>
      </c>
      <c r="O35" s="18" t="n">
        <v>0</v>
      </c>
      <c r="P35" s="20" t="n">
        <v>0</v>
      </c>
      <c r="Q35" s="18" t="n">
        <v>1.95530218</v>
      </c>
      <c r="R35" s="20" t="n">
        <v>0.96847783</v>
      </c>
    </row>
    <row r="36" spans="1:18">
      <c r="A36" s="15" t="s">
        <v>378</v>
      </c>
      <c r="B36" s="17" t="n">
        <v>3404</v>
      </c>
      <c r="C36" s="18">
        <f>(2975.0/B36*100)</f>
        <v/>
      </c>
      <c r="D36" s="19" t="n">
        <v>429</v>
      </c>
      <c r="E36" s="18" t="n">
        <v>26.70348136</v>
      </c>
      <c r="F36" s="20" t="n">
        <v>2.32810024</v>
      </c>
      <c r="G36" s="18" t="n">
        <v>72.13981819999999</v>
      </c>
      <c r="H36" s="20" t="n">
        <v>2.27280238</v>
      </c>
      <c r="I36" s="18" t="s">
        <v>349</v>
      </c>
      <c r="J36" s="20" t="s">
        <v>349</v>
      </c>
      <c r="K36" s="18" t="n">
        <v>0.396208</v>
      </c>
      <c r="L36" s="20" t="n">
        <v>0.29640824</v>
      </c>
      <c r="M36" s="18" t="n">
        <v>0</v>
      </c>
      <c r="N36" s="20" t="n">
        <v>0</v>
      </c>
      <c r="O36" s="18" t="n">
        <v>0</v>
      </c>
      <c r="P36" s="20" t="n">
        <v>0</v>
      </c>
      <c r="Q36" s="18" t="n">
        <v>0.76049243</v>
      </c>
      <c r="R36" s="20" t="n">
        <v>0.42178554</v>
      </c>
    </row>
    <row r="37" spans="1:18">
      <c r="A37" s="15" t="s">
        <v>379</v>
      </c>
      <c r="B37" s="17" t="n">
        <v>2731</v>
      </c>
      <c r="C37" s="18">
        <f>(2404.0/B37*100)</f>
        <v/>
      </c>
      <c r="D37" s="19" t="n">
        <v>327</v>
      </c>
      <c r="E37" s="18" t="n">
        <v>23.34182809</v>
      </c>
      <c r="F37" s="20" t="n">
        <v>2.01614415</v>
      </c>
      <c r="G37" s="18" t="n">
        <v>71.59556987000001</v>
      </c>
      <c r="H37" s="20" t="n">
        <v>2.13962478</v>
      </c>
      <c r="I37" s="18" t="s">
        <v>349</v>
      </c>
      <c r="J37" s="20" t="s">
        <v>349</v>
      </c>
      <c r="K37" s="18" t="n">
        <v>0.6759916</v>
      </c>
      <c r="L37" s="20" t="n">
        <v>0.46480859</v>
      </c>
      <c r="M37" s="18" t="n">
        <v>0</v>
      </c>
      <c r="N37" s="20" t="n">
        <v>0</v>
      </c>
      <c r="O37" s="18" t="n">
        <v>0</v>
      </c>
      <c r="P37" s="20" t="n">
        <v>0</v>
      </c>
      <c r="Q37" s="18" t="n">
        <v>4.38661043</v>
      </c>
      <c r="R37" s="20" t="n">
        <v>1.16151651</v>
      </c>
    </row>
    <row r="38" spans="1:18">
      <c r="A38" s="15" t="s">
        <v>380</v>
      </c>
      <c r="B38" s="17" t="n">
        <v>2807</v>
      </c>
      <c r="C38" s="18">
        <f>(2330.0/B38*100)</f>
        <v/>
      </c>
      <c r="D38" s="19" t="n">
        <v>477</v>
      </c>
      <c r="E38" s="18" t="n">
        <v>23.21524521</v>
      </c>
      <c r="F38" s="20" t="n">
        <v>2.02739097</v>
      </c>
      <c r="G38" s="18" t="n">
        <v>74.73894098</v>
      </c>
      <c r="H38" s="20" t="n">
        <v>2.17104339</v>
      </c>
      <c r="I38" s="18" t="s">
        <v>349</v>
      </c>
      <c r="J38" s="20" t="s">
        <v>349</v>
      </c>
      <c r="K38" s="18" t="n">
        <v>0.0279124</v>
      </c>
      <c r="L38" s="20" t="n">
        <v>0.02282633</v>
      </c>
      <c r="M38" s="18" t="n">
        <v>0</v>
      </c>
      <c r="N38" s="20" t="n">
        <v>0</v>
      </c>
      <c r="O38" s="18" t="n">
        <v>0</v>
      </c>
      <c r="P38" s="20" t="n">
        <v>0</v>
      </c>
      <c r="Q38" s="18" t="n">
        <v>2.01790141</v>
      </c>
      <c r="R38" s="20" t="n">
        <v>0.82365555</v>
      </c>
    </row>
    <row r="39" spans="1:18">
      <c r="A39" s="15" t="s">
        <v>381</v>
      </c>
      <c r="B39" s="17" t="n">
        <v>2938</v>
      </c>
      <c r="C39" s="18">
        <f>(2568.0/B39*100)</f>
        <v/>
      </c>
      <c r="D39" s="19" t="n">
        <v>370</v>
      </c>
      <c r="E39" s="18" t="n">
        <v>47.32719085</v>
      </c>
      <c r="F39" s="20" t="n">
        <v>2.84588368</v>
      </c>
      <c r="G39" s="18" t="n">
        <v>51.31952259</v>
      </c>
      <c r="H39" s="20" t="n">
        <v>2.90887975</v>
      </c>
      <c r="I39" s="18" t="s">
        <v>349</v>
      </c>
      <c r="J39" s="20" t="s">
        <v>349</v>
      </c>
      <c r="K39" s="18" t="n">
        <v>0</v>
      </c>
      <c r="L39" s="20" t="n">
        <v>0</v>
      </c>
      <c r="M39" s="18" t="n">
        <v>0</v>
      </c>
      <c r="N39" s="20" t="n">
        <v>0</v>
      </c>
      <c r="O39" s="18" t="n">
        <v>0</v>
      </c>
      <c r="P39" s="20" t="n">
        <v>0</v>
      </c>
      <c r="Q39" s="18" t="n">
        <v>1.35328656</v>
      </c>
      <c r="R39" s="20" t="n">
        <v>0.48503805</v>
      </c>
    </row>
    <row r="40" spans="1:18">
      <c r="A40" s="15" t="s">
        <v>382</v>
      </c>
      <c r="B40" s="17" t="n">
        <v>6922</v>
      </c>
      <c r="C40" s="18">
        <f>(6056.0/B40*100)</f>
        <v/>
      </c>
      <c r="D40" s="19" t="n">
        <v>866</v>
      </c>
      <c r="E40" s="18" t="n">
        <v>28.20814057</v>
      </c>
      <c r="F40" s="20" t="n">
        <v>2.49912944</v>
      </c>
      <c r="G40" s="18" t="n">
        <v>68.85421857999999</v>
      </c>
      <c r="H40" s="20" t="n">
        <v>2.2840321</v>
      </c>
      <c r="I40" s="18" t="s">
        <v>349</v>
      </c>
      <c r="J40" s="20" t="s">
        <v>349</v>
      </c>
      <c r="K40" s="18" t="n">
        <v>0.54171198</v>
      </c>
      <c r="L40" s="20" t="n">
        <v>0.42493328</v>
      </c>
      <c r="M40" s="18" t="n">
        <v>0</v>
      </c>
      <c r="N40" s="20" t="n">
        <v>0</v>
      </c>
      <c r="O40" s="18" t="n">
        <v>0</v>
      </c>
      <c r="P40" s="20" t="n">
        <v>0</v>
      </c>
      <c r="Q40" s="18" t="n">
        <v>2.39592887</v>
      </c>
      <c r="R40" s="20" t="n">
        <v>1.07315929</v>
      </c>
    </row>
    <row r="41" spans="1:18">
      <c r="A41" s="15" t="s">
        <v>383</v>
      </c>
      <c r="B41" s="17" t="n">
        <v>2854</v>
      </c>
      <c r="C41" s="18">
        <f>(2501.0/B41*100)</f>
        <v/>
      </c>
      <c r="D41" s="19" t="n">
        <v>353</v>
      </c>
      <c r="E41" s="18" t="n">
        <v>31.26766454</v>
      </c>
      <c r="F41" s="20" t="n">
        <v>2.42979677</v>
      </c>
      <c r="G41" s="18" t="n">
        <v>68.03390065000001</v>
      </c>
      <c r="H41" s="20" t="n">
        <v>2.33634244</v>
      </c>
      <c r="I41" s="18" t="s">
        <v>349</v>
      </c>
      <c r="J41" s="20" t="s">
        <v>349</v>
      </c>
      <c r="K41" s="18" t="n">
        <v>0</v>
      </c>
      <c r="L41" s="20" t="n">
        <v>0</v>
      </c>
      <c r="M41" s="18" t="n">
        <v>0</v>
      </c>
      <c r="N41" s="20" t="n">
        <v>0</v>
      </c>
      <c r="O41" s="18" t="n">
        <v>0</v>
      </c>
      <c r="P41" s="20" t="n">
        <v>0</v>
      </c>
      <c r="Q41" s="18" t="n">
        <v>0.6984348</v>
      </c>
      <c r="R41" s="20" t="n">
        <v>0.488855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(10695.0/B46*100)</f>
        <v/>
      </c>
      <c r="D46" s="19" t="n">
        <v>1378</v>
      </c>
      <c r="E46" s="18" t="n">
        <v>43.94980601</v>
      </c>
      <c r="F46" s="20" t="n">
        <v>1.83972839</v>
      </c>
      <c r="G46" s="18" t="n">
        <v>48.38331484</v>
      </c>
      <c r="H46" s="20" t="n">
        <v>1.90524466</v>
      </c>
      <c r="I46" s="18" t="s">
        <v>349</v>
      </c>
      <c r="J46" s="20" t="s">
        <v>349</v>
      </c>
      <c r="K46" s="18" t="n">
        <v>0.9653311999999999</v>
      </c>
      <c r="L46" s="20" t="n">
        <v>0.36251916</v>
      </c>
      <c r="M46" s="18" t="n">
        <v>0</v>
      </c>
      <c r="N46" s="20" t="n">
        <v>0</v>
      </c>
      <c r="O46" s="18" t="n">
        <v>0</v>
      </c>
      <c r="P46" s="20" t="n">
        <v>0</v>
      </c>
      <c r="Q46" s="18" t="n">
        <v>6.70154795</v>
      </c>
      <c r="R46" s="20" t="n">
        <v>0.7244261</v>
      </c>
    </row>
    <row r="47" spans="1:18">
      <c r="A47" s="15" t="s">
        <v>389</v>
      </c>
      <c r="B47" s="17" t="n">
        <v>2823</v>
      </c>
      <c r="C47" s="18">
        <f>(2476.0/B47*100)</f>
        <v/>
      </c>
      <c r="D47" s="19" t="n">
        <v>347</v>
      </c>
      <c r="E47" s="18" t="n">
        <v>33.45722148</v>
      </c>
      <c r="F47" s="20" t="n">
        <v>2.67519889</v>
      </c>
      <c r="G47" s="18" t="n">
        <v>63.82278556</v>
      </c>
      <c r="H47" s="20" t="n">
        <v>2.69493608</v>
      </c>
      <c r="I47" s="18" t="s">
        <v>349</v>
      </c>
      <c r="J47" s="20" t="s">
        <v>349</v>
      </c>
      <c r="K47" s="18" t="n">
        <v>0</v>
      </c>
      <c r="L47" s="20" t="n">
        <v>0</v>
      </c>
      <c r="M47" s="18" t="n">
        <v>0</v>
      </c>
      <c r="N47" s="20" t="n">
        <v>0</v>
      </c>
      <c r="O47" s="18" t="n">
        <v>0</v>
      </c>
      <c r="P47" s="20" t="n">
        <v>0</v>
      </c>
      <c r="Q47" s="18" t="n">
        <v>2.71999296</v>
      </c>
      <c r="R47" s="20" t="n">
        <v>0.94185857</v>
      </c>
    </row>
    <row r="48" spans="1:18">
      <c r="A48" s="15" t="s">
        <v>390</v>
      </c>
      <c r="B48" s="17" t="n">
        <v>4682</v>
      </c>
      <c r="C48" s="18">
        <f>(4114.0/B48*100)</f>
        <v/>
      </c>
      <c r="D48" s="19" t="n">
        <v>568</v>
      </c>
      <c r="E48" s="18" t="n">
        <v>19.77497607</v>
      </c>
      <c r="F48" s="20" t="n">
        <v>2.18961462</v>
      </c>
      <c r="G48" s="18" t="n">
        <v>79.49699188</v>
      </c>
      <c r="H48" s="20" t="n">
        <v>2.22589046</v>
      </c>
      <c r="I48" s="18" t="s">
        <v>349</v>
      </c>
      <c r="J48" s="20" t="s">
        <v>349</v>
      </c>
      <c r="K48" s="18" t="n">
        <v>0.34763427</v>
      </c>
      <c r="L48" s="20" t="n">
        <v>0.33807802</v>
      </c>
      <c r="M48" s="18" t="n">
        <v>0</v>
      </c>
      <c r="N48" s="20" t="n">
        <v>0</v>
      </c>
      <c r="O48" s="18" t="n">
        <v>0</v>
      </c>
      <c r="P48" s="20" t="n">
        <v>0</v>
      </c>
      <c r="Q48" s="18" t="n">
        <v>0.38039777</v>
      </c>
      <c r="R48" s="20" t="n">
        <v>0.30475438</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(5439.0/B50*100)</f>
        <v/>
      </c>
      <c r="D50" s="19" t="n">
        <v>719</v>
      </c>
      <c r="E50" s="18" t="n">
        <v>37.86182546</v>
      </c>
      <c r="F50" s="20" t="n">
        <v>2.4133322</v>
      </c>
      <c r="G50" s="18" t="n">
        <v>60.49064116</v>
      </c>
      <c r="H50" s="20" t="n">
        <v>2.35835773</v>
      </c>
      <c r="I50" s="18" t="s">
        <v>349</v>
      </c>
      <c r="J50" s="20" t="s">
        <v>349</v>
      </c>
      <c r="K50" s="18" t="n">
        <v>0.54694583</v>
      </c>
      <c r="L50" s="20" t="n">
        <v>0.51600459</v>
      </c>
      <c r="M50" s="18" t="n">
        <v>0</v>
      </c>
      <c r="N50" s="20" t="n">
        <v>0</v>
      </c>
      <c r="O50" s="18" t="n">
        <v>0</v>
      </c>
      <c r="P50" s="20" t="n">
        <v>0</v>
      </c>
      <c r="Q50" s="18" t="n">
        <v>1.10058756</v>
      </c>
      <c r="R50" s="20" t="n">
        <v>0.48138206</v>
      </c>
    </row>
    <row r="51" spans="1:18">
      <c r="A51" s="15" t="s">
        <v>393</v>
      </c>
      <c r="B51" s="17" t="n">
        <v>3494</v>
      </c>
      <c r="C51" s="18">
        <f>(3134.0/B51*100)</f>
        <v/>
      </c>
      <c r="D51" s="19" t="n">
        <v>360</v>
      </c>
      <c r="E51" s="18" t="n">
        <v>38.14025379</v>
      </c>
      <c r="F51" s="20" t="n">
        <v>2.80385859</v>
      </c>
      <c r="G51" s="18" t="n">
        <v>59.66112525</v>
      </c>
      <c r="H51" s="20" t="n">
        <v>2.94343755</v>
      </c>
      <c r="I51" s="18" t="s">
        <v>349</v>
      </c>
      <c r="J51" s="20" t="s">
        <v>349</v>
      </c>
      <c r="K51" s="18" t="n">
        <v>0</v>
      </c>
      <c r="L51" s="20" t="n">
        <v>0</v>
      </c>
      <c r="M51" s="18" t="n">
        <v>0</v>
      </c>
      <c r="N51" s="20" t="n">
        <v>0</v>
      </c>
      <c r="O51" s="18" t="n">
        <v>0</v>
      </c>
      <c r="P51" s="20" t="n">
        <v>0</v>
      </c>
      <c r="Q51" s="18" t="n">
        <v>2.19862097</v>
      </c>
      <c r="R51" s="20" t="n">
        <v>0.87278787</v>
      </c>
    </row>
    <row r="52" spans="1:18">
      <c r="A52" s="15" t="s">
        <v>394</v>
      </c>
      <c r="B52" s="17" t="n">
        <v>3013</v>
      </c>
      <c r="C52" s="18">
        <f>(2645.0/B52*100)</f>
        <v/>
      </c>
      <c r="D52" s="19" t="n">
        <v>368</v>
      </c>
      <c r="E52" s="18" t="n">
        <v>28.70261326</v>
      </c>
      <c r="F52" s="20" t="n">
        <v>2.70787768</v>
      </c>
      <c r="G52" s="18" t="n">
        <v>68.66111067999999</v>
      </c>
      <c r="H52" s="20" t="n">
        <v>2.78548016</v>
      </c>
      <c r="I52" s="18" t="s">
        <v>349</v>
      </c>
      <c r="J52" s="20" t="s">
        <v>349</v>
      </c>
      <c r="K52" s="18" t="n">
        <v>0</v>
      </c>
      <c r="L52" s="20" t="n">
        <v>0</v>
      </c>
      <c r="M52" s="18" t="n">
        <v>0</v>
      </c>
      <c r="N52" s="20" t="n">
        <v>0</v>
      </c>
      <c r="O52" s="18" t="n">
        <v>0</v>
      </c>
      <c r="P52" s="20" t="n">
        <v>0</v>
      </c>
      <c r="Q52" s="18" t="n">
        <v>2.63627606</v>
      </c>
      <c r="R52" s="20" t="n">
        <v>0.88079237</v>
      </c>
    </row>
    <row r="53" spans="1:18">
      <c r="A53" s="15" t="s">
        <v>395</v>
      </c>
      <c r="B53" s="17" t="n">
        <v>2760</v>
      </c>
      <c r="C53" s="18">
        <f>(2440.0/B53*100)</f>
        <v/>
      </c>
      <c r="D53" s="19" t="n">
        <v>320</v>
      </c>
      <c r="E53" s="18" t="n">
        <v>32.65214301</v>
      </c>
      <c r="F53" s="20" t="n">
        <v>2.7123722</v>
      </c>
      <c r="G53" s="18" t="n">
        <v>64.02188848999999</v>
      </c>
      <c r="H53" s="20" t="n">
        <v>2.78785201</v>
      </c>
      <c r="I53" s="18" t="s">
        <v>349</v>
      </c>
      <c r="J53" s="20" t="s">
        <v>349</v>
      </c>
      <c r="K53" s="18" t="n">
        <v>0.79527139</v>
      </c>
      <c r="L53" s="20" t="n">
        <v>0.4565949</v>
      </c>
      <c r="M53" s="18" t="n">
        <v>0</v>
      </c>
      <c r="N53" s="20" t="n">
        <v>0</v>
      </c>
      <c r="O53" s="18" t="n">
        <v>0</v>
      </c>
      <c r="P53" s="20" t="n">
        <v>0</v>
      </c>
      <c r="Q53" s="18" t="n">
        <v>2.53069711</v>
      </c>
      <c r="R53" s="20" t="n">
        <v>0.91061768</v>
      </c>
    </row>
    <row r="54" spans="1:18">
      <c r="A54" s="15" t="s">
        <v>396</v>
      </c>
      <c r="B54" s="17" t="n">
        <v>2474</v>
      </c>
      <c r="C54" s="18">
        <f>(2055.0/B54*100)</f>
        <v/>
      </c>
      <c r="D54" s="19" t="n">
        <v>419</v>
      </c>
      <c r="E54" s="18" t="n">
        <v>51.1395734</v>
      </c>
      <c r="F54" s="20" t="n">
        <v>2.66813821</v>
      </c>
      <c r="G54" s="18" t="n">
        <v>39.82354109</v>
      </c>
      <c r="H54" s="20" t="n">
        <v>2.38888866</v>
      </c>
      <c r="I54" s="18" t="s">
        <v>349</v>
      </c>
      <c r="J54" s="20" t="s">
        <v>349</v>
      </c>
      <c r="K54" s="18" t="n">
        <v>1.96651168</v>
      </c>
      <c r="L54" s="20" t="n">
        <v>0.67346175</v>
      </c>
      <c r="M54" s="18" t="n">
        <v>0</v>
      </c>
      <c r="N54" s="20" t="n">
        <v>0</v>
      </c>
      <c r="O54" s="18" t="n">
        <v>0</v>
      </c>
      <c r="P54" s="20" t="n">
        <v>0</v>
      </c>
      <c r="Q54" s="18" t="n">
        <v>7.07037383</v>
      </c>
      <c r="R54" s="20" t="n">
        <v>1.49584705</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(2356.0/B56*100)</f>
        <v/>
      </c>
      <c r="D56" s="19" t="n">
        <v>319</v>
      </c>
      <c r="E56" s="18" t="n">
        <v>14.97317817</v>
      </c>
      <c r="F56" s="20" t="n">
        <v>2.41354289</v>
      </c>
      <c r="G56" s="18" t="n">
        <v>84.61135081</v>
      </c>
      <c r="H56" s="20" t="n">
        <v>2.45506488</v>
      </c>
      <c r="I56" s="18" t="s">
        <v>349</v>
      </c>
      <c r="J56" s="20" t="s">
        <v>349</v>
      </c>
      <c r="K56" s="18" t="n">
        <v>0</v>
      </c>
      <c r="L56" s="20" t="n">
        <v>0</v>
      </c>
      <c r="M56" s="18" t="n">
        <v>0</v>
      </c>
      <c r="N56" s="20" t="n">
        <v>0</v>
      </c>
      <c r="O56" s="18" t="n">
        <v>0</v>
      </c>
      <c r="P56" s="20" t="n">
        <v>0</v>
      </c>
      <c r="Q56" s="18" t="n">
        <v>0.41547102</v>
      </c>
      <c r="R56" s="20" t="n">
        <v>0.41307275</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(2801.0/B61*100)</f>
        <v/>
      </c>
      <c r="D61" s="19" t="n">
        <v>400</v>
      </c>
      <c r="E61" s="18" t="n">
        <v>27.22804486</v>
      </c>
      <c r="F61" s="20" t="n">
        <v>2.36853501</v>
      </c>
      <c r="G61" s="18" t="n">
        <v>70.29343804</v>
      </c>
      <c r="H61" s="20" t="n">
        <v>2.40991635</v>
      </c>
      <c r="I61" s="18" t="s">
        <v>349</v>
      </c>
      <c r="J61" s="20" t="s">
        <v>349</v>
      </c>
      <c r="K61" s="18" t="n">
        <v>0.30226137</v>
      </c>
      <c r="L61" s="20" t="n">
        <v>0.3006282</v>
      </c>
      <c r="M61" s="18" t="n">
        <v>0</v>
      </c>
      <c r="N61" s="20" t="n">
        <v>0</v>
      </c>
      <c r="O61" s="18" t="n">
        <v>0</v>
      </c>
      <c r="P61" s="20" t="n">
        <v>0</v>
      </c>
      <c r="Q61" s="18" t="n">
        <v>2.17625573</v>
      </c>
      <c r="R61" s="20" t="n">
        <v>0.78329066</v>
      </c>
    </row>
    <row r="62" spans="1:18">
      <c r="A62" s="15" t="s">
        <v>404</v>
      </c>
      <c r="B62" s="17" t="n">
        <v>2230</v>
      </c>
      <c r="C62" s="18">
        <f>(1969.0/B62*100)</f>
        <v/>
      </c>
      <c r="D62" s="19" t="n">
        <v>261</v>
      </c>
      <c r="E62" s="18" t="n">
        <v>15.29752508</v>
      </c>
      <c r="F62" s="20" t="n">
        <v>2.11732229</v>
      </c>
      <c r="G62" s="18" t="n">
        <v>84.70247492</v>
      </c>
      <c r="H62" s="20" t="n">
        <v>2.11732229</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(2430.0/B66*100)</f>
        <v/>
      </c>
      <c r="D66" s="19" t="n">
        <v>341</v>
      </c>
      <c r="E66" s="18" t="n">
        <v>34.65994477</v>
      </c>
      <c r="F66" s="20" t="n">
        <v>2.43775053</v>
      </c>
      <c r="G66" s="18" t="n">
        <v>58.32496023</v>
      </c>
      <c r="H66" s="20" t="n">
        <v>2.58088397</v>
      </c>
      <c r="I66" s="18" t="s">
        <v>349</v>
      </c>
      <c r="J66" s="20" t="s">
        <v>349</v>
      </c>
      <c r="K66" s="18" t="n">
        <v>0.24724576</v>
      </c>
      <c r="L66" s="20" t="n">
        <v>0.24720305</v>
      </c>
      <c r="M66" s="18" t="n">
        <v>0</v>
      </c>
      <c r="N66" s="20" t="n">
        <v>0</v>
      </c>
      <c r="O66" s="18" t="n">
        <v>0</v>
      </c>
      <c r="P66" s="20" t="n">
        <v>0</v>
      </c>
      <c r="Q66" s="18" t="n">
        <v>6.76784924</v>
      </c>
      <c r="R66" s="20" t="n">
        <v>1.35909437</v>
      </c>
    </row>
    <row r="67" spans="1:18">
      <c r="A67" s="15" t="s">
        <v>409</v>
      </c>
      <c r="B67" s="17" t="n">
        <v>3460</v>
      </c>
      <c r="C67" s="18">
        <f>(3033.0/B67*100)</f>
        <v/>
      </c>
      <c r="D67" s="19" t="n">
        <v>427</v>
      </c>
      <c r="E67" s="18" t="n">
        <v>41.42106953</v>
      </c>
      <c r="F67" s="20" t="n">
        <v>2.64977902</v>
      </c>
      <c r="G67" s="18" t="n">
        <v>55.28576142</v>
      </c>
      <c r="H67" s="20" t="n">
        <v>2.62152119</v>
      </c>
      <c r="I67" s="18" t="s">
        <v>349</v>
      </c>
      <c r="J67" s="20" t="s">
        <v>349</v>
      </c>
      <c r="K67" s="18" t="n">
        <v>0</v>
      </c>
      <c r="L67" s="20" t="n">
        <v>0</v>
      </c>
      <c r="M67" s="18" t="n">
        <v>0</v>
      </c>
      <c r="N67" s="20" t="n">
        <v>0</v>
      </c>
      <c r="O67" s="18" t="n">
        <v>0</v>
      </c>
      <c r="P67" s="20" t="n">
        <v>0</v>
      </c>
      <c r="Q67" s="18" t="n">
        <v>3.29316905</v>
      </c>
      <c r="R67" s="20" t="n">
        <v>0.8700749800000001</v>
      </c>
    </row>
    <row r="68" spans="1:18">
      <c r="A68" s="15" t="s">
        <v>410</v>
      </c>
      <c r="B68" s="17" t="n">
        <v>6034</v>
      </c>
      <c r="C68" s="18">
        <f>(5046.0/B68*100)</f>
        <v/>
      </c>
      <c r="D68" s="19" t="n">
        <v>988</v>
      </c>
      <c r="E68" s="18" t="n">
        <v>42.34398005</v>
      </c>
      <c r="F68" s="20" t="n">
        <v>1.56802996</v>
      </c>
      <c r="G68" s="18" t="n">
        <v>55.02399569</v>
      </c>
      <c r="H68" s="20" t="n">
        <v>1.50055364</v>
      </c>
      <c r="I68" s="18" t="s">
        <v>349</v>
      </c>
      <c r="J68" s="20" t="s">
        <v>349</v>
      </c>
      <c r="K68" s="18" t="n">
        <v>1.00867138</v>
      </c>
      <c r="L68" s="20" t="n">
        <v>0.35946977</v>
      </c>
      <c r="M68" s="18" t="n">
        <v>0</v>
      </c>
      <c r="N68" s="20" t="n">
        <v>0</v>
      </c>
      <c r="O68" s="18" t="n">
        <v>0</v>
      </c>
      <c r="P68" s="20" t="n">
        <v>0</v>
      </c>
      <c r="Q68" s="18" t="n">
        <v>1.62335289</v>
      </c>
      <c r="R68" s="20" t="n">
        <v>0.38818338</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(2735.0/B70*100)</f>
        <v/>
      </c>
      <c r="D70" s="19" t="n">
        <v>372</v>
      </c>
      <c r="E70" s="18" t="n">
        <v>24.39529643</v>
      </c>
      <c r="F70" s="20" t="n">
        <v>3.16831481</v>
      </c>
      <c r="G70" s="18" t="n">
        <v>73.05913384</v>
      </c>
      <c r="H70" s="20" t="n">
        <v>3.20456895</v>
      </c>
      <c r="I70" s="18" t="s">
        <v>349</v>
      </c>
      <c r="J70" s="20" t="s">
        <v>349</v>
      </c>
      <c r="K70" s="18" t="n">
        <v>0.32689176</v>
      </c>
      <c r="L70" s="20" t="n">
        <v>0.23082396</v>
      </c>
      <c r="M70" s="18" t="n">
        <v>0</v>
      </c>
      <c r="N70" s="20" t="n">
        <v>0</v>
      </c>
      <c r="O70" s="18" t="n">
        <v>0</v>
      </c>
      <c r="P70" s="20" t="n">
        <v>0</v>
      </c>
      <c r="Q70" s="18" t="n">
        <v>2.21867796</v>
      </c>
      <c r="R70" s="20" t="n">
        <v>0.86207851</v>
      </c>
    </row>
    <row r="71" spans="1:18">
      <c r="A71" s="15" t="s">
        <v>413</v>
      </c>
      <c r="B71" s="17" t="n">
        <v>2973</v>
      </c>
      <c r="C71" s="18">
        <f>(2593.0/B71*100)</f>
        <v/>
      </c>
      <c r="D71" s="19" t="n">
        <v>380</v>
      </c>
      <c r="E71" s="18" t="n">
        <v>16.86010424</v>
      </c>
      <c r="F71" s="20" t="n">
        <v>1.97326152</v>
      </c>
      <c r="G71" s="18" t="n">
        <v>83.13989576</v>
      </c>
      <c r="H71" s="20" t="n">
        <v>1.97326152</v>
      </c>
      <c r="I71" s="18" t="s">
        <v>349</v>
      </c>
      <c r="J71" s="20" t="s">
        <v>349</v>
      </c>
      <c r="K71" s="18" t="n">
        <v>0</v>
      </c>
      <c r="L71" s="20" t="n">
        <v>0</v>
      </c>
      <c r="M71" s="18" t="n">
        <v>0</v>
      </c>
      <c r="N71" s="20" t="n">
        <v>0</v>
      </c>
      <c r="O71" s="18" t="n">
        <v>0</v>
      </c>
      <c r="P71" s="20" t="n">
        <v>0</v>
      </c>
      <c r="Q71" s="18" t="n">
        <v>0</v>
      </c>
      <c r="R71" s="20" t="n">
        <v>0</v>
      </c>
    </row>
    <row r="72" spans="1:18">
      <c r="A72" s="15" t="s">
        <v>414</v>
      </c>
      <c r="B72" s="17" t="n">
        <v>3819</v>
      </c>
      <c r="C72" s="18">
        <f>(3342.0/B72*100)</f>
        <v/>
      </c>
      <c r="D72" s="19" t="n">
        <v>477</v>
      </c>
      <c r="E72" s="18" t="n">
        <v>13.62977102</v>
      </c>
      <c r="F72" s="20" t="n">
        <v>1.83470185</v>
      </c>
      <c r="G72" s="18" t="n">
        <v>86.37022897999999</v>
      </c>
      <c r="H72" s="20" t="n">
        <v>1.83470185</v>
      </c>
      <c r="I72" s="18" t="s">
        <v>349</v>
      </c>
      <c r="J72" s="20" t="s">
        <v>349</v>
      </c>
      <c r="K72" s="18" t="n">
        <v>0</v>
      </c>
      <c r="L72" s="20" t="n">
        <v>0</v>
      </c>
      <c r="M72" s="18" t="n">
        <v>0</v>
      </c>
      <c r="N72" s="20" t="n">
        <v>0</v>
      </c>
      <c r="O72" s="18" t="n">
        <v>0</v>
      </c>
      <c r="P72" s="20" t="n">
        <v>0</v>
      </c>
      <c r="Q72" s="18" t="n">
        <v>0</v>
      </c>
      <c r="R72" s="20" t="n">
        <v>0</v>
      </c>
    </row>
    <row r="73" spans="1:18">
      <c r="A73" s="15" t="s">
        <v>415</v>
      </c>
      <c r="B73" s="17" t="n">
        <v>4652</v>
      </c>
      <c r="C73" s="18">
        <f>(4089.0/B73*100)</f>
        <v/>
      </c>
      <c r="D73" s="19" t="n">
        <v>563</v>
      </c>
      <c r="E73" s="18" t="n">
        <v>52.61997551</v>
      </c>
      <c r="F73" s="20" t="n">
        <v>2.66795653</v>
      </c>
      <c r="G73" s="18" t="n">
        <v>46.25020396</v>
      </c>
      <c r="H73" s="20" t="n">
        <v>2.68199643</v>
      </c>
      <c r="I73" s="18" t="s">
        <v>349</v>
      </c>
      <c r="J73" s="20" t="s">
        <v>349</v>
      </c>
      <c r="K73" s="18" t="n">
        <v>0</v>
      </c>
      <c r="L73" s="20" t="n">
        <v>0</v>
      </c>
      <c r="M73" s="18" t="n">
        <v>0</v>
      </c>
      <c r="N73" s="20" t="n">
        <v>0</v>
      </c>
      <c r="O73" s="18" t="n">
        <v>0</v>
      </c>
      <c r="P73" s="20" t="n">
        <v>0</v>
      </c>
      <c r="Q73" s="18" t="n">
        <v>1.12982053</v>
      </c>
      <c r="R73" s="20" t="n">
        <v>0.49364468</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(2622.0/B75*100)</f>
        <v/>
      </c>
      <c r="D75" s="19" t="n">
        <v>347</v>
      </c>
      <c r="E75" s="18" t="n">
        <v>48.34254367</v>
      </c>
      <c r="F75" s="20" t="n">
        <v>3.02619158</v>
      </c>
      <c r="G75" s="18" t="n">
        <v>44.27552922</v>
      </c>
      <c r="H75" s="20" t="n">
        <v>2.94929506</v>
      </c>
      <c r="I75" s="18" t="s">
        <v>349</v>
      </c>
      <c r="J75" s="20" t="s">
        <v>349</v>
      </c>
      <c r="K75" s="18" t="n">
        <v>2.67385826</v>
      </c>
      <c r="L75" s="20" t="n">
        <v>0.8421764900000001</v>
      </c>
      <c r="M75" s="18" t="n">
        <v>0</v>
      </c>
      <c r="N75" s="20" t="n">
        <v>0</v>
      </c>
      <c r="O75" s="18" t="n">
        <v>0</v>
      </c>
      <c r="P75" s="20" t="n">
        <v>0</v>
      </c>
      <c r="Q75" s="18" t="n">
        <v>4.70806885</v>
      </c>
      <c r="R75" s="20" t="n">
        <v>1.26997977</v>
      </c>
    </row>
    <row r="76" spans="1:18">
      <c r="A76" s="15" t="s">
        <v>418</v>
      </c>
      <c r="B76" s="17" t="n">
        <v>7115</v>
      </c>
      <c r="C76" s="18">
        <f>(6239.0/B76*100)</f>
        <v/>
      </c>
      <c r="D76" s="19" t="n">
        <v>876</v>
      </c>
      <c r="E76" s="18" t="n">
        <v>39.89975526</v>
      </c>
      <c r="F76" s="20" t="n">
        <v>1.84675064</v>
      </c>
      <c r="G76" s="18" t="n">
        <v>58.35832271</v>
      </c>
      <c r="H76" s="20" t="n">
        <v>1.86579157</v>
      </c>
      <c r="I76" s="18" t="s">
        <v>349</v>
      </c>
      <c r="J76" s="20" t="s">
        <v>349</v>
      </c>
      <c r="K76" s="18" t="n">
        <v>0.638597</v>
      </c>
      <c r="L76" s="20" t="n">
        <v>0.26865814</v>
      </c>
      <c r="M76" s="18" t="n">
        <v>0</v>
      </c>
      <c r="N76" s="20" t="n">
        <v>0</v>
      </c>
      <c r="O76" s="18" t="n">
        <v>0</v>
      </c>
      <c r="P76" s="20" t="n">
        <v>0</v>
      </c>
      <c r="Q76" s="18" t="n">
        <v>1.10332503</v>
      </c>
      <c r="R76" s="20" t="n">
        <v>0.43701392</v>
      </c>
    </row>
    <row r="77" spans="1:18">
      <c r="A77" s="15" t="s">
        <v>419</v>
      </c>
      <c r="B77" s="17" t="n">
        <v>3154</v>
      </c>
      <c r="C77" s="18">
        <f>(2775.0/B77*100)</f>
        <v/>
      </c>
      <c r="D77" s="19" t="n">
        <v>379</v>
      </c>
      <c r="E77" s="18" t="n">
        <v>30.48717685</v>
      </c>
      <c r="F77" s="20" t="n">
        <v>2.33404439</v>
      </c>
      <c r="G77" s="18" t="n">
        <v>65.44804277</v>
      </c>
      <c r="H77" s="20" t="n">
        <v>2.35621202</v>
      </c>
      <c r="I77" s="18" t="s">
        <v>349</v>
      </c>
      <c r="J77" s="20" t="s">
        <v>349</v>
      </c>
      <c r="K77" s="18" t="n">
        <v>0</v>
      </c>
      <c r="L77" s="20" t="n">
        <v>0</v>
      </c>
      <c r="M77" s="18" t="n">
        <v>0</v>
      </c>
      <c r="N77" s="20" t="n">
        <v>0</v>
      </c>
      <c r="O77" s="18" t="n">
        <v>0</v>
      </c>
      <c r="P77" s="20" t="n">
        <v>0</v>
      </c>
      <c r="Q77" s="18" t="n">
        <v>4.06478038</v>
      </c>
      <c r="R77" s="20" t="n">
        <v>1.10691888</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(4119.0/B81*100)</f>
        <v/>
      </c>
      <c r="D81" s="19" t="n">
        <v>579</v>
      </c>
      <c r="E81" s="18" t="n">
        <v>37.70863099</v>
      </c>
      <c r="F81" s="20" t="n">
        <v>2.51672665</v>
      </c>
      <c r="G81" s="18" t="n">
        <v>61.51300637</v>
      </c>
      <c r="H81" s="20" t="n">
        <v>2.52883385</v>
      </c>
      <c r="I81" s="18" t="s">
        <v>349</v>
      </c>
      <c r="J81" s="20" t="s">
        <v>349</v>
      </c>
      <c r="K81" s="18" t="n">
        <v>0.23222901</v>
      </c>
      <c r="L81" s="20" t="n">
        <v>0.23162311</v>
      </c>
      <c r="M81" s="18" t="n">
        <v>0</v>
      </c>
      <c r="N81" s="20" t="n">
        <v>0</v>
      </c>
      <c r="O81" s="18" t="n">
        <v>0</v>
      </c>
      <c r="P81" s="20" t="n">
        <v>0</v>
      </c>
      <c r="Q81" s="18" t="n">
        <v>0.54613363</v>
      </c>
      <c r="R81" s="20" t="n">
        <v>0.36584812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(6293.0/B7*100)</f>
        <v/>
      </c>
      <c r="D7" s="19" t="n">
        <v>870</v>
      </c>
      <c r="E7" s="18" t="n">
        <v>79.44007476</v>
      </c>
      <c r="F7" s="20" t="n">
        <v>1.68710309</v>
      </c>
      <c r="G7" s="18" t="n">
        <v>16.57801281</v>
      </c>
      <c r="H7" s="20" t="n">
        <v>1.38037718</v>
      </c>
      <c r="I7" s="18" t="s">
        <v>349</v>
      </c>
      <c r="J7" s="20" t="s">
        <v>349</v>
      </c>
      <c r="K7" s="18" t="n">
        <v>0.57782819</v>
      </c>
      <c r="L7" s="20" t="n">
        <v>0.30322411</v>
      </c>
      <c r="M7" s="18" t="n">
        <v>0</v>
      </c>
      <c r="N7" s="20" t="n">
        <v>0</v>
      </c>
      <c r="O7" s="18" t="n">
        <v>0</v>
      </c>
      <c r="P7" s="20" t="n">
        <v>0</v>
      </c>
      <c r="Q7" s="18" t="n">
        <v>3.40408424</v>
      </c>
      <c r="R7" s="20" t="n">
        <v>0.72514397</v>
      </c>
    </row>
    <row r="8" spans="1:18">
      <c r="A8" s="15" t="s">
        <v>350</v>
      </c>
      <c r="B8" s="17" t="n">
        <v>3443</v>
      </c>
      <c r="C8" s="18">
        <f>(3019.0/B8*100)</f>
        <v/>
      </c>
      <c r="D8" s="19" t="n">
        <v>424</v>
      </c>
      <c r="E8" s="18" t="n">
        <v>81.37697381</v>
      </c>
      <c r="F8" s="20" t="n">
        <v>2.20462314</v>
      </c>
      <c r="G8" s="18" t="n">
        <v>12.15377485</v>
      </c>
      <c r="H8" s="20" t="n">
        <v>1.91007527</v>
      </c>
      <c r="I8" s="18" t="s">
        <v>349</v>
      </c>
      <c r="J8" s="20" t="s">
        <v>349</v>
      </c>
      <c r="K8" s="18" t="n">
        <v>0</v>
      </c>
      <c r="L8" s="20" t="n">
        <v>0</v>
      </c>
      <c r="M8" s="18" t="n">
        <v>0</v>
      </c>
      <c r="N8" s="20" t="n">
        <v>0</v>
      </c>
      <c r="O8" s="18" t="n">
        <v>0</v>
      </c>
      <c r="P8" s="20" t="n">
        <v>0</v>
      </c>
      <c r="Q8" s="18" t="n">
        <v>6.46925134</v>
      </c>
      <c r="R8" s="20" t="n">
        <v>1.25634373</v>
      </c>
    </row>
    <row r="9" spans="1:18">
      <c r="A9" s="15" t="s">
        <v>351</v>
      </c>
      <c r="B9" s="17" t="n">
        <v>4752</v>
      </c>
      <c r="C9" s="18">
        <f>(4191.0/B9*100)</f>
        <v/>
      </c>
      <c r="D9" s="19" t="n">
        <v>561</v>
      </c>
      <c r="E9" s="18" t="n">
        <v>76.89796398</v>
      </c>
      <c r="F9" s="20" t="n">
        <v>1.79936491</v>
      </c>
      <c r="G9" s="18" t="n">
        <v>17.88614839</v>
      </c>
      <c r="H9" s="20" t="n">
        <v>1.55125381</v>
      </c>
      <c r="I9" s="18" t="s">
        <v>349</v>
      </c>
      <c r="J9" s="20" t="s">
        <v>349</v>
      </c>
      <c r="K9" s="18" t="n">
        <v>0.0833569</v>
      </c>
      <c r="L9" s="20" t="n">
        <v>0.08303939</v>
      </c>
      <c r="M9" s="18" t="n">
        <v>0</v>
      </c>
      <c r="N9" s="20" t="n">
        <v>0</v>
      </c>
      <c r="O9" s="18" t="n">
        <v>0</v>
      </c>
      <c r="P9" s="20" t="n">
        <v>0</v>
      </c>
      <c r="Q9" s="18" t="n">
        <v>5.13253073</v>
      </c>
      <c r="R9" s="20" t="n">
        <v>0.90656039</v>
      </c>
    </row>
    <row r="10" spans="1:18">
      <c r="A10" s="15" t="s">
        <v>352</v>
      </c>
      <c r="B10" s="17" t="n">
        <v>10022</v>
      </c>
      <c r="C10" s="18">
        <f>(8778.0/B10*100)</f>
        <v/>
      </c>
      <c r="D10" s="19" t="n">
        <v>1244</v>
      </c>
      <c r="E10" s="18" t="n">
        <v>80.24061148</v>
      </c>
      <c r="F10" s="20" t="n">
        <v>1.58847783</v>
      </c>
      <c r="G10" s="18" t="n">
        <v>17.15164686</v>
      </c>
      <c r="H10" s="20" t="n">
        <v>1.47390717</v>
      </c>
      <c r="I10" s="18" t="s">
        <v>349</v>
      </c>
      <c r="J10" s="20" t="s">
        <v>349</v>
      </c>
      <c r="K10" s="18" t="n">
        <v>0.12326838</v>
      </c>
      <c r="L10" s="20" t="n">
        <v>0.12166866</v>
      </c>
      <c r="M10" s="18" t="n">
        <v>0</v>
      </c>
      <c r="N10" s="20" t="n">
        <v>0</v>
      </c>
      <c r="O10" s="18" t="n">
        <v>0</v>
      </c>
      <c r="P10" s="20" t="n">
        <v>0</v>
      </c>
      <c r="Q10" s="18" t="n">
        <v>2.48447328</v>
      </c>
      <c r="R10" s="20" t="n">
        <v>0.70087286</v>
      </c>
    </row>
    <row r="11" spans="1:18">
      <c r="A11" s="15" t="s">
        <v>353</v>
      </c>
      <c r="B11" s="17" t="n">
        <v>3500</v>
      </c>
      <c r="C11" s="18">
        <f>(3076.0/B11*100)</f>
        <v/>
      </c>
      <c r="D11" s="19" t="n">
        <v>424</v>
      </c>
      <c r="E11" s="18" t="n">
        <v>85.07319939999999</v>
      </c>
      <c r="F11" s="20" t="n">
        <v>1.67414913</v>
      </c>
      <c r="G11" s="18" t="n">
        <v>6.3169146</v>
      </c>
      <c r="H11" s="20" t="n">
        <v>1.18383536</v>
      </c>
      <c r="I11" s="18" t="s">
        <v>349</v>
      </c>
      <c r="J11" s="20" t="s">
        <v>349</v>
      </c>
      <c r="K11" s="18" t="n">
        <v>0.28503764</v>
      </c>
      <c r="L11" s="20" t="n">
        <v>0.20954425</v>
      </c>
      <c r="M11" s="18" t="n">
        <v>0</v>
      </c>
      <c r="N11" s="20" t="n">
        <v>0</v>
      </c>
      <c r="O11" s="18" t="n">
        <v>0</v>
      </c>
      <c r="P11" s="20" t="n">
        <v>0</v>
      </c>
      <c r="Q11" s="18" t="n">
        <v>8.324848360000001</v>
      </c>
      <c r="R11" s="20" t="n">
        <v>1.345259</v>
      </c>
    </row>
    <row r="12" spans="1:18">
      <c r="A12" s="15" t="s">
        <v>354</v>
      </c>
      <c r="B12" s="17" t="n">
        <v>3422</v>
      </c>
      <c r="C12" s="18">
        <f>(3008.0/B12*100)</f>
        <v/>
      </c>
      <c r="D12" s="19" t="n">
        <v>414</v>
      </c>
      <c r="E12" s="18" t="n">
        <v>76.57205397</v>
      </c>
      <c r="F12" s="20" t="n">
        <v>2.29804159</v>
      </c>
      <c r="G12" s="18" t="n">
        <v>16.80223597</v>
      </c>
      <c r="H12" s="20" t="n">
        <v>1.90608363</v>
      </c>
      <c r="I12" s="18" t="s">
        <v>349</v>
      </c>
      <c r="J12" s="20" t="s">
        <v>349</v>
      </c>
      <c r="K12" s="18" t="n">
        <v>0.22991445</v>
      </c>
      <c r="L12" s="20" t="n">
        <v>0.22233515</v>
      </c>
      <c r="M12" s="18" t="n">
        <v>0</v>
      </c>
      <c r="N12" s="20" t="n">
        <v>0</v>
      </c>
      <c r="O12" s="18" t="n">
        <v>0</v>
      </c>
      <c r="P12" s="20" t="n">
        <v>0</v>
      </c>
      <c r="Q12" s="18" t="n">
        <v>6.39579561</v>
      </c>
      <c r="R12" s="20" t="n">
        <v>1.54364723</v>
      </c>
    </row>
    <row r="13" spans="1:18">
      <c r="A13" s="15" t="s">
        <v>355</v>
      </c>
      <c r="B13" s="17" t="n">
        <v>3602</v>
      </c>
      <c r="C13" s="18">
        <f>(3194.0/B13*100)</f>
        <v/>
      </c>
      <c r="D13" s="19" t="n">
        <v>408</v>
      </c>
      <c r="E13" s="18" t="n">
        <v>79.30313277</v>
      </c>
      <c r="F13" s="20" t="n">
        <v>2.47603306</v>
      </c>
      <c r="G13" s="18" t="n">
        <v>16.08785841</v>
      </c>
      <c r="H13" s="20" t="n">
        <v>2.171729</v>
      </c>
      <c r="I13" s="18" t="s">
        <v>349</v>
      </c>
      <c r="J13" s="20" t="s">
        <v>349</v>
      </c>
      <c r="K13" s="18" t="n">
        <v>1.55364742</v>
      </c>
      <c r="L13" s="20" t="n">
        <v>0.96164965</v>
      </c>
      <c r="M13" s="18" t="n">
        <v>0</v>
      </c>
      <c r="N13" s="20" t="n">
        <v>0</v>
      </c>
      <c r="O13" s="18" t="n">
        <v>0</v>
      </c>
      <c r="P13" s="20" t="n">
        <v>0</v>
      </c>
      <c r="Q13" s="18" t="n">
        <v>3.05536139</v>
      </c>
      <c r="R13" s="20" t="n">
        <v>0.89462192</v>
      </c>
    </row>
    <row r="14" spans="1:18">
      <c r="A14" s="15" t="s">
        <v>356</v>
      </c>
      <c r="B14" s="17" t="n">
        <v>2788</v>
      </c>
      <c r="C14" s="18">
        <f>(2436.0/B14*100)</f>
        <v/>
      </c>
      <c r="D14" s="19" t="n">
        <v>352</v>
      </c>
      <c r="E14" s="18" t="n">
        <v>85.36876891</v>
      </c>
      <c r="F14" s="20" t="n">
        <v>1.85358797</v>
      </c>
      <c r="G14" s="18" t="n">
        <v>12.38561565</v>
      </c>
      <c r="H14" s="20" t="n">
        <v>1.88487389</v>
      </c>
      <c r="I14" s="18" t="s">
        <v>349</v>
      </c>
      <c r="J14" s="20" t="s">
        <v>349</v>
      </c>
      <c r="K14" s="18" t="n">
        <v>0</v>
      </c>
      <c r="L14" s="20" t="n">
        <v>0</v>
      </c>
      <c r="M14" s="18" t="n">
        <v>0</v>
      </c>
      <c r="N14" s="20" t="n">
        <v>0</v>
      </c>
      <c r="O14" s="18" t="n">
        <v>0</v>
      </c>
      <c r="P14" s="20" t="n">
        <v>0</v>
      </c>
      <c r="Q14" s="18" t="n">
        <v>2.24561545</v>
      </c>
      <c r="R14" s="20" t="n">
        <v>0.77328153</v>
      </c>
    </row>
    <row r="15" spans="1:18">
      <c r="A15" s="15" t="s">
        <v>357</v>
      </c>
      <c r="B15" s="17" t="n">
        <v>2863</v>
      </c>
      <c r="C15" s="18">
        <f>(2534.0/B15*100)</f>
        <v/>
      </c>
      <c r="D15" s="19" t="n">
        <v>329</v>
      </c>
      <c r="E15" s="18" t="n">
        <v>78.23516322</v>
      </c>
      <c r="F15" s="20" t="n">
        <v>2.4863544</v>
      </c>
      <c r="G15" s="18" t="n">
        <v>17.67293724</v>
      </c>
      <c r="H15" s="20" t="n">
        <v>2.34506168</v>
      </c>
      <c r="I15" s="18" t="s">
        <v>349</v>
      </c>
      <c r="J15" s="20" t="s">
        <v>349</v>
      </c>
      <c r="K15" s="18" t="n">
        <v>0.29475467</v>
      </c>
      <c r="L15" s="20" t="n">
        <v>0.29583835</v>
      </c>
      <c r="M15" s="18" t="n">
        <v>0</v>
      </c>
      <c r="N15" s="20" t="n">
        <v>0</v>
      </c>
      <c r="O15" s="18" t="n">
        <v>0</v>
      </c>
      <c r="P15" s="20" t="n">
        <v>0</v>
      </c>
      <c r="Q15" s="18" t="n">
        <v>3.79714487</v>
      </c>
      <c r="R15" s="20" t="n">
        <v>1.04871605</v>
      </c>
    </row>
    <row r="16" spans="1:18">
      <c r="A16" s="15" t="s">
        <v>358</v>
      </c>
      <c r="B16" s="17" t="n">
        <v>3111</v>
      </c>
      <c r="C16" s="18">
        <f>(2743.0/B16*100)</f>
        <v/>
      </c>
      <c r="D16" s="19" t="n">
        <v>368</v>
      </c>
      <c r="E16" s="18" t="n">
        <v>85.39371911000001</v>
      </c>
      <c r="F16" s="20" t="n">
        <v>1.74408833</v>
      </c>
      <c r="G16" s="18" t="n">
        <v>8.01553155</v>
      </c>
      <c r="H16" s="20" t="n">
        <v>1.25969602</v>
      </c>
      <c r="I16" s="18" t="s">
        <v>349</v>
      </c>
      <c r="J16" s="20" t="s">
        <v>349</v>
      </c>
      <c r="K16" s="18" t="n">
        <v>0</v>
      </c>
      <c r="L16" s="20" t="n">
        <v>0</v>
      </c>
      <c r="M16" s="18" t="n">
        <v>0</v>
      </c>
      <c r="N16" s="20" t="n">
        <v>0</v>
      </c>
      <c r="O16" s="18" t="n">
        <v>0</v>
      </c>
      <c r="P16" s="20" t="n">
        <v>0</v>
      </c>
      <c r="Q16" s="18" t="n">
        <v>6.59074934</v>
      </c>
      <c r="R16" s="20" t="n">
        <v>1.29612488</v>
      </c>
    </row>
    <row r="17" spans="1:18">
      <c r="A17" s="15" t="s">
        <v>359</v>
      </c>
      <c r="B17" s="17" t="n">
        <v>3197</v>
      </c>
      <c r="C17" s="18">
        <f>(2835.0/B17*100)</f>
        <v/>
      </c>
      <c r="D17" s="19" t="n">
        <v>362</v>
      </c>
      <c r="E17" s="18" t="n">
        <v>83.29042776</v>
      </c>
      <c r="F17" s="20" t="n">
        <v>2.1105568</v>
      </c>
      <c r="G17" s="18" t="n">
        <v>9.241283490000001</v>
      </c>
      <c r="H17" s="20" t="n">
        <v>1.53367438</v>
      </c>
      <c r="I17" s="18" t="s">
        <v>349</v>
      </c>
      <c r="J17" s="20" t="s">
        <v>349</v>
      </c>
      <c r="K17" s="18" t="n">
        <v>0</v>
      </c>
      <c r="L17" s="20" t="n">
        <v>0</v>
      </c>
      <c r="M17" s="18" t="n">
        <v>0</v>
      </c>
      <c r="N17" s="20" t="n">
        <v>0</v>
      </c>
      <c r="O17" s="18" t="n">
        <v>0</v>
      </c>
      <c r="P17" s="20" t="n">
        <v>0</v>
      </c>
      <c r="Q17" s="18" t="n">
        <v>7.46828875</v>
      </c>
      <c r="R17" s="20" t="n">
        <v>1.29806743</v>
      </c>
    </row>
    <row r="18" spans="1:18">
      <c r="A18" s="15" t="s">
        <v>360</v>
      </c>
      <c r="B18" s="17" t="n">
        <v>2706</v>
      </c>
      <c r="C18" s="18">
        <f>(2377.0/B18*100)</f>
        <v/>
      </c>
      <c r="D18" s="19" t="n">
        <v>329</v>
      </c>
      <c r="E18" s="18" t="n">
        <v>86.4111721</v>
      </c>
      <c r="F18" s="20" t="n">
        <v>2.13214807</v>
      </c>
      <c r="G18" s="18" t="n">
        <v>10.8267121</v>
      </c>
      <c r="H18" s="20" t="n">
        <v>1.86558022</v>
      </c>
      <c r="I18" s="18" t="s">
        <v>349</v>
      </c>
      <c r="J18" s="20" t="s">
        <v>349</v>
      </c>
      <c r="K18" s="18" t="n">
        <v>0.35119133</v>
      </c>
      <c r="L18" s="20" t="n">
        <v>0.34598795</v>
      </c>
      <c r="M18" s="18" t="n">
        <v>0</v>
      </c>
      <c r="N18" s="20" t="n">
        <v>0</v>
      </c>
      <c r="O18" s="18" t="n">
        <v>0</v>
      </c>
      <c r="P18" s="20" t="n">
        <v>0</v>
      </c>
      <c r="Q18" s="18" t="n">
        <v>2.41092448</v>
      </c>
      <c r="R18" s="20" t="n">
        <v>0.87431207</v>
      </c>
    </row>
    <row r="19" spans="1:18">
      <c r="A19" s="15" t="s">
        <v>361</v>
      </c>
      <c r="B19" s="17" t="n">
        <v>2850</v>
      </c>
      <c r="C19" s="18">
        <f>(2503.0/B19*100)</f>
        <v/>
      </c>
      <c r="D19" s="19" t="n">
        <v>347</v>
      </c>
      <c r="E19" s="18" t="n">
        <v>83.15886682999999</v>
      </c>
      <c r="F19" s="20" t="n">
        <v>2.09474386</v>
      </c>
      <c r="G19" s="18" t="n">
        <v>10.24495285</v>
      </c>
      <c r="H19" s="20" t="n">
        <v>1.74299691</v>
      </c>
      <c r="I19" s="18" t="s">
        <v>349</v>
      </c>
      <c r="J19" s="20" t="s">
        <v>349</v>
      </c>
      <c r="K19" s="18" t="n">
        <v>0.30900422</v>
      </c>
      <c r="L19" s="20" t="n">
        <v>0.31135767</v>
      </c>
      <c r="M19" s="18" t="n">
        <v>0</v>
      </c>
      <c r="N19" s="20" t="n">
        <v>0</v>
      </c>
      <c r="O19" s="18" t="n">
        <v>0</v>
      </c>
      <c r="P19" s="20" t="n">
        <v>0</v>
      </c>
      <c r="Q19" s="18" t="n">
        <v>6.2871761</v>
      </c>
      <c r="R19" s="20" t="n">
        <v>1.34194535</v>
      </c>
    </row>
    <row r="20" spans="1:18">
      <c r="A20" s="15" t="s">
        <v>362</v>
      </c>
      <c r="B20" s="17" t="n">
        <v>1741</v>
      </c>
      <c r="C20" s="18">
        <f>(1527.0/B20*100)</f>
        <v/>
      </c>
      <c r="D20" s="19" t="n">
        <v>214</v>
      </c>
      <c r="E20" s="18" t="n">
        <v>81.11286111</v>
      </c>
      <c r="F20" s="20" t="n">
        <v>2.96078114</v>
      </c>
      <c r="G20" s="18" t="n">
        <v>14.45988162</v>
      </c>
      <c r="H20" s="20" t="n">
        <v>2.81701626</v>
      </c>
      <c r="I20" s="18" t="s">
        <v>349</v>
      </c>
      <c r="J20" s="20" t="s">
        <v>349</v>
      </c>
      <c r="K20" s="18" t="n">
        <v>0</v>
      </c>
      <c r="L20" s="20" t="n">
        <v>0</v>
      </c>
      <c r="M20" s="18" t="n">
        <v>0</v>
      </c>
      <c r="N20" s="20" t="n">
        <v>0</v>
      </c>
      <c r="O20" s="18" t="n">
        <v>0</v>
      </c>
      <c r="P20" s="20" t="n">
        <v>0</v>
      </c>
      <c r="Q20" s="18" t="n">
        <v>4.42725726</v>
      </c>
      <c r="R20" s="20" t="n">
        <v>1.51517099</v>
      </c>
    </row>
    <row r="21" spans="1:18">
      <c r="A21" s="15" t="s">
        <v>363</v>
      </c>
      <c r="B21" s="17" t="n">
        <v>2833</v>
      </c>
      <c r="C21" s="18">
        <f>(2349.0/B21*100)</f>
        <v/>
      </c>
      <c r="D21" s="19" t="n">
        <v>484</v>
      </c>
      <c r="E21" s="18" t="n">
        <v>90.39018245</v>
      </c>
      <c r="F21" s="20" t="n">
        <v>1.27859626</v>
      </c>
      <c r="G21" s="18" t="n">
        <v>7.13220534</v>
      </c>
      <c r="H21" s="20" t="n">
        <v>1.13957884</v>
      </c>
      <c r="I21" s="18" t="s">
        <v>349</v>
      </c>
      <c r="J21" s="20" t="s">
        <v>349</v>
      </c>
      <c r="K21" s="18" t="n">
        <v>0</v>
      </c>
      <c r="L21" s="20" t="n">
        <v>0</v>
      </c>
      <c r="M21" s="18" t="n">
        <v>0</v>
      </c>
      <c r="N21" s="20" t="n">
        <v>0</v>
      </c>
      <c r="O21" s="18" t="n">
        <v>0</v>
      </c>
      <c r="P21" s="20" t="n">
        <v>0</v>
      </c>
      <c r="Q21" s="18" t="n">
        <v>2.4776122</v>
      </c>
      <c r="R21" s="20" t="n">
        <v>0.62441538</v>
      </c>
    </row>
    <row r="22" spans="1:18">
      <c r="A22" s="15" t="s">
        <v>364</v>
      </c>
      <c r="B22" s="17" t="n">
        <v>3667</v>
      </c>
      <c r="C22" s="18">
        <f>(3180.0/B22*100)</f>
        <v/>
      </c>
      <c r="D22" s="19" t="n">
        <v>487</v>
      </c>
      <c r="E22" s="18" t="n">
        <v>77.79670516</v>
      </c>
      <c r="F22" s="20" t="n">
        <v>2.08554809</v>
      </c>
      <c r="G22" s="18" t="n">
        <v>14.13378332</v>
      </c>
      <c r="H22" s="20" t="n">
        <v>1.75368883</v>
      </c>
      <c r="I22" s="18" t="s">
        <v>349</v>
      </c>
      <c r="J22" s="20" t="s">
        <v>349</v>
      </c>
      <c r="K22" s="18" t="n">
        <v>0.7770262999999999</v>
      </c>
      <c r="L22" s="20" t="n">
        <v>0.39052006</v>
      </c>
      <c r="M22" s="18" t="n">
        <v>0</v>
      </c>
      <c r="N22" s="20" t="n">
        <v>0</v>
      </c>
      <c r="O22" s="18" t="n">
        <v>0</v>
      </c>
      <c r="P22" s="20" t="n">
        <v>0</v>
      </c>
      <c r="Q22" s="18" t="n">
        <v>7.29248523</v>
      </c>
      <c r="R22" s="20" t="n">
        <v>1.16232112</v>
      </c>
    </row>
    <row r="23" spans="1:18">
      <c r="A23" s="15" t="s">
        <v>365</v>
      </c>
      <c r="B23" s="17" t="n">
        <v>5792</v>
      </c>
      <c r="C23" s="18">
        <f>(5082.0/B23*100)</f>
        <v/>
      </c>
      <c r="D23" s="19" t="n">
        <v>710</v>
      </c>
      <c r="E23" s="18" t="n">
        <v>76.07536439</v>
      </c>
      <c r="F23" s="20" t="n">
        <v>2.13384117</v>
      </c>
      <c r="G23" s="18" t="n">
        <v>14.66030412</v>
      </c>
      <c r="H23" s="20" t="n">
        <v>1.78757779</v>
      </c>
      <c r="I23" s="18" t="s">
        <v>349</v>
      </c>
      <c r="J23" s="20" t="s">
        <v>349</v>
      </c>
      <c r="K23" s="18" t="n">
        <v>0.78832556</v>
      </c>
      <c r="L23" s="20" t="n">
        <v>0.33321664</v>
      </c>
      <c r="M23" s="18" t="n">
        <v>0</v>
      </c>
      <c r="N23" s="20" t="n">
        <v>0</v>
      </c>
      <c r="O23" s="18" t="n">
        <v>0</v>
      </c>
      <c r="P23" s="20" t="n">
        <v>0</v>
      </c>
      <c r="Q23" s="18" t="n">
        <v>8.476005929999999</v>
      </c>
      <c r="R23" s="20" t="n">
        <v>1.45174498</v>
      </c>
    </row>
    <row r="24" spans="1:18">
      <c r="A24" s="15" t="s">
        <v>366</v>
      </c>
      <c r="B24" s="17" t="n">
        <v>3309</v>
      </c>
      <c r="C24" s="18">
        <f>(2908.0/B24*100)</f>
        <v/>
      </c>
      <c r="D24" s="19" t="n">
        <v>401</v>
      </c>
      <c r="E24" s="18" t="n">
        <v>62.03794416</v>
      </c>
      <c r="F24" s="20" t="n">
        <v>2.20500029</v>
      </c>
      <c r="G24" s="18" t="n">
        <v>33.84955463</v>
      </c>
      <c r="H24" s="20" t="n">
        <v>2.23536584</v>
      </c>
      <c r="I24" s="18" t="s">
        <v>349</v>
      </c>
      <c r="J24" s="20" t="s">
        <v>349</v>
      </c>
      <c r="K24" s="18" t="n">
        <v>0</v>
      </c>
      <c r="L24" s="20" t="n">
        <v>0</v>
      </c>
      <c r="M24" s="18" t="n">
        <v>0</v>
      </c>
      <c r="N24" s="20" t="n">
        <v>0</v>
      </c>
      <c r="O24" s="18" t="n">
        <v>0</v>
      </c>
      <c r="P24" s="20" t="n">
        <v>0</v>
      </c>
      <c r="Q24" s="18" t="n">
        <v>4.1125012</v>
      </c>
      <c r="R24" s="20" t="n">
        <v>0.9612223600000001</v>
      </c>
    </row>
    <row r="25" spans="1:18">
      <c r="A25" s="15" t="s">
        <v>367</v>
      </c>
      <c r="B25" s="17" t="n">
        <v>2669</v>
      </c>
      <c r="C25" s="18">
        <f>(2338.0/B25*100)</f>
        <v/>
      </c>
      <c r="D25" s="19" t="n">
        <v>331</v>
      </c>
      <c r="E25" s="18" t="n">
        <v>70.5968843</v>
      </c>
      <c r="F25" s="20" t="n">
        <v>2.72851135</v>
      </c>
      <c r="G25" s="18" t="n">
        <v>26.26313832</v>
      </c>
      <c r="H25" s="20" t="n">
        <v>2.58669331</v>
      </c>
      <c r="I25" s="18" t="s">
        <v>349</v>
      </c>
      <c r="J25" s="20" t="s">
        <v>349</v>
      </c>
      <c r="K25" s="18" t="n">
        <v>0.27478707</v>
      </c>
      <c r="L25" s="20" t="n">
        <v>0.38770941</v>
      </c>
      <c r="M25" s="18" t="n">
        <v>0</v>
      </c>
      <c r="N25" s="20" t="n">
        <v>0</v>
      </c>
      <c r="O25" s="18" t="n">
        <v>0</v>
      </c>
      <c r="P25" s="20" t="n">
        <v>0</v>
      </c>
      <c r="Q25" s="18" t="n">
        <v>2.86519032</v>
      </c>
      <c r="R25" s="20" t="n">
        <v>1.03848014</v>
      </c>
    </row>
    <row r="26" spans="1:18">
      <c r="A26" s="15" t="s">
        <v>368</v>
      </c>
      <c r="B26" s="17" t="n">
        <v>2419</v>
      </c>
      <c r="C26" s="18">
        <f>(2126.0/B26*100)</f>
        <v/>
      </c>
      <c r="D26" s="19" t="n">
        <v>293</v>
      </c>
      <c r="E26" s="18" t="n">
        <v>81.94661086000001</v>
      </c>
      <c r="F26" s="20" t="n">
        <v>2.3658064</v>
      </c>
      <c r="G26" s="18" t="n">
        <v>13.73039073</v>
      </c>
      <c r="H26" s="20" t="n">
        <v>2.26195672</v>
      </c>
      <c r="I26" s="18" t="s">
        <v>349</v>
      </c>
      <c r="J26" s="20" t="s">
        <v>349</v>
      </c>
      <c r="K26" s="18" t="n">
        <v>0</v>
      </c>
      <c r="L26" s="20" t="n">
        <v>0</v>
      </c>
      <c r="M26" s="18" t="n">
        <v>0</v>
      </c>
      <c r="N26" s="20" t="n">
        <v>0</v>
      </c>
      <c r="O26" s="18" t="n">
        <v>0</v>
      </c>
      <c r="P26" s="20" t="n">
        <v>0</v>
      </c>
      <c r="Q26" s="18" t="n">
        <v>4.3229984</v>
      </c>
      <c r="R26" s="20" t="n">
        <v>0.9680098</v>
      </c>
    </row>
    <row r="27" spans="1:18">
      <c r="A27" s="15" t="s">
        <v>369</v>
      </c>
      <c r="B27" s="17" t="n">
        <v>2683</v>
      </c>
      <c r="C27" s="18">
        <f>(2357.0/B27*100)</f>
        <v/>
      </c>
      <c r="D27" s="19" t="n">
        <v>326</v>
      </c>
      <c r="E27" s="18" t="n">
        <v>84.1295552</v>
      </c>
      <c r="F27" s="20" t="n">
        <v>2.05983385</v>
      </c>
      <c r="G27" s="18" t="n">
        <v>11.22626389</v>
      </c>
      <c r="H27" s="20" t="n">
        <v>1.80138781</v>
      </c>
      <c r="I27" s="18" t="s">
        <v>349</v>
      </c>
      <c r="J27" s="20" t="s">
        <v>349</v>
      </c>
      <c r="K27" s="18" t="n">
        <v>0</v>
      </c>
      <c r="L27" s="20" t="n">
        <v>0</v>
      </c>
      <c r="M27" s="18" t="n">
        <v>0</v>
      </c>
      <c r="N27" s="20" t="n">
        <v>0</v>
      </c>
      <c r="O27" s="18" t="n">
        <v>0</v>
      </c>
      <c r="P27" s="20" t="n">
        <v>0</v>
      </c>
      <c r="Q27" s="18" t="n">
        <v>4.64418091</v>
      </c>
      <c r="R27" s="20" t="n">
        <v>1.40974964</v>
      </c>
    </row>
    <row r="28" spans="1:18">
      <c r="A28" s="15" t="s">
        <v>370</v>
      </c>
      <c r="B28" s="17" t="n">
        <v>3803</v>
      </c>
      <c r="C28" s="18">
        <f>(3354.0/B28*100)</f>
        <v/>
      </c>
      <c r="D28" s="19" t="n">
        <v>449</v>
      </c>
      <c r="E28" s="18" t="n">
        <v>89.53682517999999</v>
      </c>
      <c r="F28" s="20" t="n">
        <v>1.83293621</v>
      </c>
      <c r="G28" s="18" t="n">
        <v>9.23548766</v>
      </c>
      <c r="H28" s="20" t="n">
        <v>1.78474675</v>
      </c>
      <c r="I28" s="18" t="s">
        <v>349</v>
      </c>
      <c r="J28" s="20" t="s">
        <v>349</v>
      </c>
      <c r="K28" s="18" t="n">
        <v>0</v>
      </c>
      <c r="L28" s="20" t="n">
        <v>0</v>
      </c>
      <c r="M28" s="18" t="n">
        <v>0</v>
      </c>
      <c r="N28" s="20" t="n">
        <v>0</v>
      </c>
      <c r="O28" s="18" t="n">
        <v>0</v>
      </c>
      <c r="P28" s="20" t="n">
        <v>0</v>
      </c>
      <c r="Q28" s="18" t="n">
        <v>1.22768717</v>
      </c>
      <c r="R28" s="20" t="n">
        <v>0.55649053</v>
      </c>
    </row>
    <row r="29" spans="1:18">
      <c r="A29" s="15" t="s">
        <v>371</v>
      </c>
      <c r="B29" s="17" t="n">
        <v>2700</v>
      </c>
      <c r="C29" s="18">
        <f>(2327.0/B29*100)</f>
        <v/>
      </c>
      <c r="D29" s="19" t="n">
        <v>373</v>
      </c>
      <c r="E29" s="18" t="n">
        <v>87.84565895</v>
      </c>
      <c r="F29" s="20" t="n">
        <v>1.59235214</v>
      </c>
      <c r="G29" s="18" t="n">
        <v>10.24398725</v>
      </c>
      <c r="H29" s="20" t="n">
        <v>1.46455335</v>
      </c>
      <c r="I29" s="18" t="s">
        <v>349</v>
      </c>
      <c r="J29" s="20" t="s">
        <v>349</v>
      </c>
      <c r="K29" s="18" t="n">
        <v>0.87823892</v>
      </c>
      <c r="L29" s="20" t="n">
        <v>0.44433897</v>
      </c>
      <c r="M29" s="18" t="n">
        <v>0</v>
      </c>
      <c r="N29" s="20" t="n">
        <v>0</v>
      </c>
      <c r="O29" s="18" t="n">
        <v>0</v>
      </c>
      <c r="P29" s="20" t="n">
        <v>0</v>
      </c>
      <c r="Q29" s="18" t="n">
        <v>1.03211489</v>
      </c>
      <c r="R29" s="20" t="n">
        <v>0.52267524</v>
      </c>
    </row>
    <row r="30" spans="1:18">
      <c r="A30" s="15" t="s">
        <v>372</v>
      </c>
      <c r="B30" s="17" t="n">
        <v>2257</v>
      </c>
      <c r="C30" s="18">
        <f>(1975.0/B30*100)</f>
        <v/>
      </c>
      <c r="D30" s="19" t="n">
        <v>282</v>
      </c>
      <c r="E30" s="18" t="n">
        <v>84.9573884</v>
      </c>
      <c r="F30" s="20" t="n">
        <v>2.1074067</v>
      </c>
      <c r="G30" s="18" t="n">
        <v>10.88021676</v>
      </c>
      <c r="H30" s="20" t="n">
        <v>1.5631469</v>
      </c>
      <c r="I30" s="18" t="s">
        <v>349</v>
      </c>
      <c r="J30" s="20" t="s">
        <v>349</v>
      </c>
      <c r="K30" s="18" t="n">
        <v>0</v>
      </c>
      <c r="L30" s="20" t="n">
        <v>0</v>
      </c>
      <c r="M30" s="18" t="n">
        <v>0</v>
      </c>
      <c r="N30" s="20" t="n">
        <v>0</v>
      </c>
      <c r="O30" s="18" t="n">
        <v>0</v>
      </c>
      <c r="P30" s="20" t="n">
        <v>0</v>
      </c>
      <c r="Q30" s="18" t="n">
        <v>4.16239484</v>
      </c>
      <c r="R30" s="20" t="n">
        <v>1.34698786</v>
      </c>
    </row>
    <row r="31" spans="1:18">
      <c r="A31" s="15" t="s">
        <v>373</v>
      </c>
      <c r="B31" s="17" t="n">
        <v>2706</v>
      </c>
      <c r="C31" s="18">
        <f>(2387.0/B31*100)</f>
        <v/>
      </c>
      <c r="D31" s="19" t="n">
        <v>319</v>
      </c>
      <c r="E31" s="18" t="n">
        <v>74.79373604</v>
      </c>
      <c r="F31" s="20" t="n">
        <v>2.38518</v>
      </c>
      <c r="G31" s="18" t="n">
        <v>18.11164313</v>
      </c>
      <c r="H31" s="20" t="n">
        <v>2.28420377</v>
      </c>
      <c r="I31" s="18" t="s">
        <v>349</v>
      </c>
      <c r="J31" s="20" t="s">
        <v>349</v>
      </c>
      <c r="K31" s="18" t="n">
        <v>1.03895725</v>
      </c>
      <c r="L31" s="20" t="n">
        <v>0.6510336799999999</v>
      </c>
      <c r="M31" s="18" t="n">
        <v>0</v>
      </c>
      <c r="N31" s="20" t="n">
        <v>0</v>
      </c>
      <c r="O31" s="18" t="n">
        <v>0</v>
      </c>
      <c r="P31" s="20" t="n">
        <v>0</v>
      </c>
      <c r="Q31" s="18" t="n">
        <v>6.05566358</v>
      </c>
      <c r="R31" s="20" t="n">
        <v>1.55419389</v>
      </c>
    </row>
    <row r="32" spans="1:18">
      <c r="A32" s="15" t="s">
        <v>374</v>
      </c>
      <c r="B32" s="17" t="n">
        <v>2209</v>
      </c>
      <c r="C32" s="18">
        <f>(1850.0/B32*100)</f>
        <v/>
      </c>
      <c r="D32" s="19" t="n">
        <v>359</v>
      </c>
      <c r="E32" s="18" t="n">
        <v>79.24531589</v>
      </c>
      <c r="F32" s="20" t="n">
        <v>2.1115883</v>
      </c>
      <c r="G32" s="18" t="n">
        <v>14.76397149</v>
      </c>
      <c r="H32" s="20" t="n">
        <v>2.08552233</v>
      </c>
      <c r="I32" s="18" t="s">
        <v>349</v>
      </c>
      <c r="J32" s="20" t="s">
        <v>349</v>
      </c>
      <c r="K32" s="18" t="n">
        <v>0.27905418</v>
      </c>
      <c r="L32" s="20" t="n">
        <v>0.278814</v>
      </c>
      <c r="M32" s="18" t="n">
        <v>0</v>
      </c>
      <c r="N32" s="20" t="n">
        <v>0</v>
      </c>
      <c r="O32" s="18" t="n">
        <v>0</v>
      </c>
      <c r="P32" s="20" t="n">
        <v>0</v>
      </c>
      <c r="Q32" s="18" t="n">
        <v>5.71165844</v>
      </c>
      <c r="R32" s="20" t="n">
        <v>1.19580965</v>
      </c>
    </row>
    <row r="33" spans="1:18">
      <c r="A33" s="15" t="s">
        <v>375</v>
      </c>
      <c r="B33" s="17" t="n">
        <v>3651</v>
      </c>
      <c r="C33" s="18">
        <f>(3214.0/B33*100)</f>
        <v/>
      </c>
      <c r="D33" s="19" t="n">
        <v>437</v>
      </c>
      <c r="E33" s="18" t="n">
        <v>81.06355366</v>
      </c>
      <c r="F33" s="20" t="n">
        <v>2.38058181</v>
      </c>
      <c r="G33" s="18" t="n">
        <v>14.88171293</v>
      </c>
      <c r="H33" s="20" t="n">
        <v>1.98149555</v>
      </c>
      <c r="I33" s="18" t="s">
        <v>349</v>
      </c>
      <c r="J33" s="20" t="s">
        <v>349</v>
      </c>
      <c r="K33" s="18" t="n">
        <v>0</v>
      </c>
      <c r="L33" s="20" t="n">
        <v>0</v>
      </c>
      <c r="M33" s="18" t="n">
        <v>0</v>
      </c>
      <c r="N33" s="20" t="n">
        <v>0</v>
      </c>
      <c r="O33" s="18" t="n">
        <v>0</v>
      </c>
      <c r="P33" s="20" t="n">
        <v>0</v>
      </c>
      <c r="Q33" s="18" t="n">
        <v>4.05473341</v>
      </c>
      <c r="R33" s="20" t="n">
        <v>1.15985819</v>
      </c>
    </row>
    <row r="34" spans="1:18">
      <c r="A34" s="15" t="s">
        <v>376</v>
      </c>
      <c r="B34" s="17" t="n">
        <v>3035</v>
      </c>
      <c r="C34" s="18">
        <f>(2650.0/B34*100)</f>
        <v/>
      </c>
      <c r="D34" s="19" t="n">
        <v>385</v>
      </c>
      <c r="E34" s="18" t="n">
        <v>79.06030606</v>
      </c>
      <c r="F34" s="20" t="n">
        <v>2.4600193</v>
      </c>
      <c r="G34" s="18" t="n">
        <v>17.49055874</v>
      </c>
      <c r="H34" s="20" t="n">
        <v>2.17301632</v>
      </c>
      <c r="I34" s="18" t="s">
        <v>349</v>
      </c>
      <c r="J34" s="20" t="s">
        <v>349</v>
      </c>
      <c r="K34" s="18" t="n">
        <v>0.28366125</v>
      </c>
      <c r="L34" s="20" t="n">
        <v>0.28308002</v>
      </c>
      <c r="M34" s="18" t="n">
        <v>0</v>
      </c>
      <c r="N34" s="20" t="n">
        <v>0</v>
      </c>
      <c r="O34" s="18" t="n">
        <v>0</v>
      </c>
      <c r="P34" s="20" t="n">
        <v>0</v>
      </c>
      <c r="Q34" s="18" t="n">
        <v>3.16547395</v>
      </c>
      <c r="R34" s="20" t="n">
        <v>0.99799441</v>
      </c>
    </row>
    <row r="35" spans="1:18">
      <c r="A35" s="15" t="s">
        <v>377</v>
      </c>
      <c r="B35" s="17" t="n">
        <v>2901</v>
      </c>
      <c r="C35" s="18">
        <f>(2551.0/B35*100)</f>
        <v/>
      </c>
      <c r="D35" s="19" t="n">
        <v>350</v>
      </c>
      <c r="E35" s="18" t="n">
        <v>75.99775543</v>
      </c>
      <c r="F35" s="20" t="n">
        <v>3.00868392</v>
      </c>
      <c r="G35" s="18" t="n">
        <v>20.55225575</v>
      </c>
      <c r="H35" s="20" t="n">
        <v>2.97273784</v>
      </c>
      <c r="I35" s="18" t="s">
        <v>349</v>
      </c>
      <c r="J35" s="20" t="s">
        <v>349</v>
      </c>
      <c r="K35" s="18" t="n">
        <v>0</v>
      </c>
      <c r="L35" s="20" t="n">
        <v>0</v>
      </c>
      <c r="M35" s="18" t="n">
        <v>0</v>
      </c>
      <c r="N35" s="20" t="n">
        <v>0</v>
      </c>
      <c r="O35" s="18" t="n">
        <v>0</v>
      </c>
      <c r="P35" s="20" t="n">
        <v>0</v>
      </c>
      <c r="Q35" s="18" t="n">
        <v>3.44998882</v>
      </c>
      <c r="R35" s="20" t="n">
        <v>0.97708221</v>
      </c>
    </row>
    <row r="36" spans="1:18">
      <c r="A36" s="15" t="s">
        <v>378</v>
      </c>
      <c r="B36" s="17" t="n">
        <v>3404</v>
      </c>
      <c r="C36" s="18">
        <f>(2976.0/B36*100)</f>
        <v/>
      </c>
      <c r="D36" s="19" t="n">
        <v>428</v>
      </c>
      <c r="E36" s="18" t="n">
        <v>89.21747670000001</v>
      </c>
      <c r="F36" s="20" t="n">
        <v>1.56063675</v>
      </c>
      <c r="G36" s="18" t="n">
        <v>6.10588414</v>
      </c>
      <c r="H36" s="20" t="n">
        <v>1.0881877</v>
      </c>
      <c r="I36" s="18" t="s">
        <v>349</v>
      </c>
      <c r="J36" s="20" t="s">
        <v>349</v>
      </c>
      <c r="K36" s="18" t="n">
        <v>0.39763108</v>
      </c>
      <c r="L36" s="20" t="n">
        <v>0.2974703</v>
      </c>
      <c r="M36" s="18" t="n">
        <v>0</v>
      </c>
      <c r="N36" s="20" t="n">
        <v>0</v>
      </c>
      <c r="O36" s="18" t="n">
        <v>0</v>
      </c>
      <c r="P36" s="20" t="n">
        <v>0</v>
      </c>
      <c r="Q36" s="18" t="n">
        <v>4.27900808</v>
      </c>
      <c r="R36" s="20" t="n">
        <v>1.11354077</v>
      </c>
    </row>
    <row r="37" spans="1:18">
      <c r="A37" s="15" t="s">
        <v>379</v>
      </c>
      <c r="B37" s="17" t="n">
        <v>2731</v>
      </c>
      <c r="C37" s="18">
        <f>(2404.0/B37*100)</f>
        <v/>
      </c>
      <c r="D37" s="19" t="n">
        <v>327</v>
      </c>
      <c r="E37" s="18" t="n">
        <v>77.88473203</v>
      </c>
      <c r="F37" s="20" t="n">
        <v>2.50847275</v>
      </c>
      <c r="G37" s="18" t="n">
        <v>12.00858205</v>
      </c>
      <c r="H37" s="20" t="n">
        <v>1.97003276</v>
      </c>
      <c r="I37" s="18" t="s">
        <v>349</v>
      </c>
      <c r="J37" s="20" t="s">
        <v>349</v>
      </c>
      <c r="K37" s="18" t="n">
        <v>0.6759916</v>
      </c>
      <c r="L37" s="20" t="n">
        <v>0.46480859</v>
      </c>
      <c r="M37" s="18" t="n">
        <v>0</v>
      </c>
      <c r="N37" s="20" t="n">
        <v>0</v>
      </c>
      <c r="O37" s="18" t="n">
        <v>0</v>
      </c>
      <c r="P37" s="20" t="n">
        <v>0</v>
      </c>
      <c r="Q37" s="18" t="n">
        <v>9.430694320000001</v>
      </c>
      <c r="R37" s="20" t="n">
        <v>1.62614033</v>
      </c>
    </row>
    <row r="38" spans="1:18">
      <c r="A38" s="15" t="s">
        <v>380</v>
      </c>
      <c r="B38" s="17" t="n">
        <v>2807</v>
      </c>
      <c r="C38" s="18">
        <f>(2331.0/B38*100)</f>
        <v/>
      </c>
      <c r="D38" s="19" t="n">
        <v>476</v>
      </c>
      <c r="E38" s="18" t="n">
        <v>71.73007751999999</v>
      </c>
      <c r="F38" s="20" t="n">
        <v>2.77057438</v>
      </c>
      <c r="G38" s="18" t="n">
        <v>22.8931017</v>
      </c>
      <c r="H38" s="20" t="n">
        <v>2.33819333</v>
      </c>
      <c r="I38" s="18" t="s">
        <v>349</v>
      </c>
      <c r="J38" s="20" t="s">
        <v>349</v>
      </c>
      <c r="K38" s="18" t="n">
        <v>0.02797013</v>
      </c>
      <c r="L38" s="20" t="n">
        <v>0.02287332</v>
      </c>
      <c r="M38" s="18" t="n">
        <v>0</v>
      </c>
      <c r="N38" s="20" t="n">
        <v>0</v>
      </c>
      <c r="O38" s="18" t="n">
        <v>0</v>
      </c>
      <c r="P38" s="20" t="n">
        <v>0</v>
      </c>
      <c r="Q38" s="18" t="n">
        <v>5.34885065</v>
      </c>
      <c r="R38" s="20" t="n">
        <v>1.30362278</v>
      </c>
    </row>
    <row r="39" spans="1:18">
      <c r="A39" s="15" t="s">
        <v>381</v>
      </c>
      <c r="B39" s="17" t="n">
        <v>2938</v>
      </c>
      <c r="C39" s="18">
        <f>(2569.0/B39*100)</f>
        <v/>
      </c>
      <c r="D39" s="19" t="n">
        <v>369</v>
      </c>
      <c r="E39" s="18" t="n">
        <v>88.32198824</v>
      </c>
      <c r="F39" s="20" t="n">
        <v>2.00645209</v>
      </c>
      <c r="G39" s="18" t="n">
        <v>6.95985206</v>
      </c>
      <c r="H39" s="20" t="n">
        <v>1.6770114</v>
      </c>
      <c r="I39" s="18" t="s">
        <v>349</v>
      </c>
      <c r="J39" s="20" t="s">
        <v>349</v>
      </c>
      <c r="K39" s="18" t="n">
        <v>0</v>
      </c>
      <c r="L39" s="20" t="n">
        <v>0</v>
      </c>
      <c r="M39" s="18" t="n">
        <v>0</v>
      </c>
      <c r="N39" s="20" t="n">
        <v>0</v>
      </c>
      <c r="O39" s="18" t="n">
        <v>0</v>
      </c>
      <c r="P39" s="20" t="n">
        <v>0</v>
      </c>
      <c r="Q39" s="18" t="n">
        <v>4.7181597</v>
      </c>
      <c r="R39" s="20" t="n">
        <v>1.07926893</v>
      </c>
    </row>
    <row r="40" spans="1:18">
      <c r="A40" s="15" t="s">
        <v>382</v>
      </c>
      <c r="B40" s="17" t="n">
        <v>6922</v>
      </c>
      <c r="C40" s="18">
        <f>(6056.0/B40*100)</f>
        <v/>
      </c>
      <c r="D40" s="19" t="n">
        <v>866</v>
      </c>
      <c r="E40" s="18" t="n">
        <v>86.08841567</v>
      </c>
      <c r="F40" s="20" t="n">
        <v>1.93833618</v>
      </c>
      <c r="G40" s="18" t="n">
        <v>9.832508020000001</v>
      </c>
      <c r="H40" s="20" t="n">
        <v>1.80639937</v>
      </c>
      <c r="I40" s="18" t="s">
        <v>349</v>
      </c>
      <c r="J40" s="20" t="s">
        <v>349</v>
      </c>
      <c r="K40" s="18" t="n">
        <v>0.54171198</v>
      </c>
      <c r="L40" s="20" t="n">
        <v>0.42493328</v>
      </c>
      <c r="M40" s="18" t="n">
        <v>0</v>
      </c>
      <c r="N40" s="20" t="n">
        <v>0</v>
      </c>
      <c r="O40" s="18" t="n">
        <v>0</v>
      </c>
      <c r="P40" s="20" t="n">
        <v>0</v>
      </c>
      <c r="Q40" s="18" t="n">
        <v>3.53736432</v>
      </c>
      <c r="R40" s="20" t="n">
        <v>0.82432899</v>
      </c>
    </row>
    <row r="41" spans="1:18">
      <c r="A41" s="15" t="s">
        <v>383</v>
      </c>
      <c r="B41" s="17" t="n">
        <v>2854</v>
      </c>
      <c r="C41" s="18">
        <f>(2501.0/B41*100)</f>
        <v/>
      </c>
      <c r="D41" s="19" t="n">
        <v>353</v>
      </c>
      <c r="E41" s="18" t="n">
        <v>88.24235059</v>
      </c>
      <c r="F41" s="20" t="n">
        <v>1.97494039</v>
      </c>
      <c r="G41" s="18" t="n">
        <v>10.15530726</v>
      </c>
      <c r="H41" s="20" t="n">
        <v>1.81642537</v>
      </c>
      <c r="I41" s="18" t="s">
        <v>349</v>
      </c>
      <c r="J41" s="20" t="s">
        <v>349</v>
      </c>
      <c r="K41" s="18" t="n">
        <v>0</v>
      </c>
      <c r="L41" s="20" t="n">
        <v>0</v>
      </c>
      <c r="M41" s="18" t="n">
        <v>0</v>
      </c>
      <c r="N41" s="20" t="n">
        <v>0</v>
      </c>
      <c r="O41" s="18" t="n">
        <v>0</v>
      </c>
      <c r="P41" s="20" t="n">
        <v>0</v>
      </c>
      <c r="Q41" s="18" t="n">
        <v>1.60234215</v>
      </c>
      <c r="R41" s="20" t="n">
        <v>0.67576646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(10706.0/B46*100)</f>
        <v/>
      </c>
      <c r="D46" s="19" t="n">
        <v>1367</v>
      </c>
      <c r="E46" s="18" t="n">
        <v>88.30041269</v>
      </c>
      <c r="F46" s="20" t="n">
        <v>1.07987455</v>
      </c>
      <c r="G46" s="18" t="n">
        <v>3.13400234</v>
      </c>
      <c r="H46" s="20" t="n">
        <v>0.57193846</v>
      </c>
      <c r="I46" s="18" t="s">
        <v>349</v>
      </c>
      <c r="J46" s="20" t="s">
        <v>349</v>
      </c>
      <c r="K46" s="18" t="n">
        <v>1.04136177</v>
      </c>
      <c r="L46" s="20" t="n">
        <v>0.36639891</v>
      </c>
      <c r="M46" s="18" t="n">
        <v>0</v>
      </c>
      <c r="N46" s="20" t="n">
        <v>0</v>
      </c>
      <c r="O46" s="18" t="n">
        <v>0</v>
      </c>
      <c r="P46" s="20" t="n">
        <v>0</v>
      </c>
      <c r="Q46" s="18" t="n">
        <v>7.5242232</v>
      </c>
      <c r="R46" s="20" t="n">
        <v>0.88602357</v>
      </c>
    </row>
    <row r="47" spans="1:18">
      <c r="A47" s="15" t="s">
        <v>389</v>
      </c>
      <c r="B47" s="17" t="n">
        <v>2823</v>
      </c>
      <c r="C47" s="18">
        <f>(2476.0/B47*100)</f>
        <v/>
      </c>
      <c r="D47" s="19" t="n">
        <v>347</v>
      </c>
      <c r="E47" s="18" t="n">
        <v>84.83311902</v>
      </c>
      <c r="F47" s="20" t="n">
        <v>1.82468292</v>
      </c>
      <c r="G47" s="18" t="n">
        <v>10.72064557</v>
      </c>
      <c r="H47" s="20" t="n">
        <v>1.80338425</v>
      </c>
      <c r="I47" s="18" t="s">
        <v>349</v>
      </c>
      <c r="J47" s="20" t="s">
        <v>349</v>
      </c>
      <c r="K47" s="18" t="n">
        <v>0</v>
      </c>
      <c r="L47" s="20" t="n">
        <v>0</v>
      </c>
      <c r="M47" s="18" t="n">
        <v>0</v>
      </c>
      <c r="N47" s="20" t="n">
        <v>0</v>
      </c>
      <c r="O47" s="18" t="n">
        <v>0</v>
      </c>
      <c r="P47" s="20" t="n">
        <v>0</v>
      </c>
      <c r="Q47" s="18" t="n">
        <v>4.44623541</v>
      </c>
      <c r="R47" s="20" t="n">
        <v>1.11494175</v>
      </c>
    </row>
    <row r="48" spans="1:18">
      <c r="A48" s="15" t="s">
        <v>390</v>
      </c>
      <c r="B48" s="17" t="n">
        <v>4682</v>
      </c>
      <c r="C48" s="18">
        <f>(4114.0/B48*100)</f>
        <v/>
      </c>
      <c r="D48" s="19" t="n">
        <v>568</v>
      </c>
      <c r="E48" s="18" t="n">
        <v>61.43682714</v>
      </c>
      <c r="F48" s="20" t="n">
        <v>2.59419503</v>
      </c>
      <c r="G48" s="18" t="n">
        <v>36.25076659</v>
      </c>
      <c r="H48" s="20" t="n">
        <v>2.6828518</v>
      </c>
      <c r="I48" s="18" t="s">
        <v>349</v>
      </c>
      <c r="J48" s="20" t="s">
        <v>349</v>
      </c>
      <c r="K48" s="18" t="n">
        <v>0.34763427</v>
      </c>
      <c r="L48" s="20" t="n">
        <v>0.33807802</v>
      </c>
      <c r="M48" s="18" t="n">
        <v>0</v>
      </c>
      <c r="N48" s="20" t="n">
        <v>0</v>
      </c>
      <c r="O48" s="18" t="n">
        <v>0</v>
      </c>
      <c r="P48" s="20" t="n">
        <v>0</v>
      </c>
      <c r="Q48" s="18" t="n">
        <v>1.964772</v>
      </c>
      <c r="R48" s="20" t="n">
        <v>0.77507336</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(5441.0/B50*100)</f>
        <v/>
      </c>
      <c r="D50" s="19" t="n">
        <v>717</v>
      </c>
      <c r="E50" s="18" t="n">
        <v>90.05221634</v>
      </c>
      <c r="F50" s="20" t="n">
        <v>1.56840885</v>
      </c>
      <c r="G50" s="18" t="n">
        <v>6.55342704</v>
      </c>
      <c r="H50" s="20" t="n">
        <v>1.19797576</v>
      </c>
      <c r="I50" s="18" t="s">
        <v>349</v>
      </c>
      <c r="J50" s="20" t="s">
        <v>349</v>
      </c>
      <c r="K50" s="18" t="n">
        <v>1.06692722</v>
      </c>
      <c r="L50" s="20" t="n">
        <v>0.62352794</v>
      </c>
      <c r="M50" s="18" t="n">
        <v>0</v>
      </c>
      <c r="N50" s="20" t="n">
        <v>0</v>
      </c>
      <c r="O50" s="18" t="n">
        <v>0</v>
      </c>
      <c r="P50" s="20" t="n">
        <v>0</v>
      </c>
      <c r="Q50" s="18" t="n">
        <v>2.32742939</v>
      </c>
      <c r="R50" s="20" t="n">
        <v>0.71758879</v>
      </c>
    </row>
    <row r="51" spans="1:18">
      <c r="A51" s="15" t="s">
        <v>393</v>
      </c>
      <c r="B51" s="17" t="n">
        <v>3494</v>
      </c>
      <c r="C51" s="18">
        <f>(3134.0/B51*100)</f>
        <v/>
      </c>
      <c r="D51" s="19" t="n">
        <v>360</v>
      </c>
      <c r="E51" s="18" t="n">
        <v>91.14438791000001</v>
      </c>
      <c r="F51" s="20" t="n">
        <v>1.57092108</v>
      </c>
      <c r="G51" s="18" t="n">
        <v>4.13245986</v>
      </c>
      <c r="H51" s="20" t="n">
        <v>1.08565154</v>
      </c>
      <c r="I51" s="18" t="s">
        <v>349</v>
      </c>
      <c r="J51" s="20" t="s">
        <v>349</v>
      </c>
      <c r="K51" s="18" t="n">
        <v>0.23476564</v>
      </c>
      <c r="L51" s="20" t="n">
        <v>0.199954</v>
      </c>
      <c r="M51" s="18" t="n">
        <v>0</v>
      </c>
      <c r="N51" s="20" t="n">
        <v>0</v>
      </c>
      <c r="O51" s="18" t="n">
        <v>0</v>
      </c>
      <c r="P51" s="20" t="n">
        <v>0</v>
      </c>
      <c r="Q51" s="18" t="n">
        <v>4.48838659</v>
      </c>
      <c r="R51" s="20" t="n">
        <v>1.19565638</v>
      </c>
    </row>
    <row r="52" spans="1:18">
      <c r="A52" s="15" t="s">
        <v>394</v>
      </c>
      <c r="B52" s="17" t="n">
        <v>3013</v>
      </c>
      <c r="C52" s="18">
        <f>(2645.0/B52*100)</f>
        <v/>
      </c>
      <c r="D52" s="19" t="n">
        <v>368</v>
      </c>
      <c r="E52" s="18" t="n">
        <v>87.08854639</v>
      </c>
      <c r="F52" s="20" t="n">
        <v>1.70689249</v>
      </c>
      <c r="G52" s="18" t="n">
        <v>7.95458541</v>
      </c>
      <c r="H52" s="20" t="n">
        <v>1.32299056</v>
      </c>
      <c r="I52" s="18" t="s">
        <v>349</v>
      </c>
      <c r="J52" s="20" t="s">
        <v>349</v>
      </c>
      <c r="K52" s="18" t="n">
        <v>0</v>
      </c>
      <c r="L52" s="20" t="n">
        <v>0</v>
      </c>
      <c r="M52" s="18" t="n">
        <v>0</v>
      </c>
      <c r="N52" s="20" t="n">
        <v>0</v>
      </c>
      <c r="O52" s="18" t="n">
        <v>0</v>
      </c>
      <c r="P52" s="20" t="n">
        <v>0</v>
      </c>
      <c r="Q52" s="18" t="n">
        <v>4.9568682</v>
      </c>
      <c r="R52" s="20" t="n">
        <v>1.25738144</v>
      </c>
    </row>
    <row r="53" spans="1:18">
      <c r="A53" s="15" t="s">
        <v>395</v>
      </c>
      <c r="B53" s="17" t="n">
        <v>2760</v>
      </c>
      <c r="C53" s="18">
        <f>(2441.0/B53*100)</f>
        <v/>
      </c>
      <c r="D53" s="19" t="n">
        <v>319</v>
      </c>
      <c r="E53" s="18" t="n">
        <v>86.68275293000001</v>
      </c>
      <c r="F53" s="20" t="n">
        <v>2.0640291</v>
      </c>
      <c r="G53" s="18" t="n">
        <v>7.6191822</v>
      </c>
      <c r="H53" s="20" t="n">
        <v>1.56501111</v>
      </c>
      <c r="I53" s="18" t="s">
        <v>349</v>
      </c>
      <c r="J53" s="20" t="s">
        <v>349</v>
      </c>
      <c r="K53" s="18" t="n">
        <v>1.03816858</v>
      </c>
      <c r="L53" s="20" t="n">
        <v>0.51980909</v>
      </c>
      <c r="M53" s="18" t="n">
        <v>0</v>
      </c>
      <c r="N53" s="20" t="n">
        <v>0</v>
      </c>
      <c r="O53" s="18" t="n">
        <v>0</v>
      </c>
      <c r="P53" s="20" t="n">
        <v>0</v>
      </c>
      <c r="Q53" s="18" t="n">
        <v>4.65989629</v>
      </c>
      <c r="R53" s="20" t="n">
        <v>1.21450943</v>
      </c>
    </row>
    <row r="54" spans="1:18">
      <c r="A54" s="15" t="s">
        <v>396</v>
      </c>
      <c r="B54" s="17" t="n">
        <v>2474</v>
      </c>
      <c r="C54" s="18">
        <f>(2056.0/B54*100)</f>
        <v/>
      </c>
      <c r="D54" s="19" t="n">
        <v>418</v>
      </c>
      <c r="E54" s="18" t="n">
        <v>84.28179373</v>
      </c>
      <c r="F54" s="20" t="n">
        <v>1.96305096</v>
      </c>
      <c r="G54" s="18" t="n">
        <v>0.97017645</v>
      </c>
      <c r="H54" s="20" t="n">
        <v>0.32680074</v>
      </c>
      <c r="I54" s="18" t="s">
        <v>349</v>
      </c>
      <c r="J54" s="20" t="s">
        <v>349</v>
      </c>
      <c r="K54" s="18" t="n">
        <v>2.66672423</v>
      </c>
      <c r="L54" s="20" t="n">
        <v>0.76776377</v>
      </c>
      <c r="M54" s="18" t="n">
        <v>0</v>
      </c>
      <c r="N54" s="20" t="n">
        <v>0</v>
      </c>
      <c r="O54" s="18" t="n">
        <v>0</v>
      </c>
      <c r="P54" s="20" t="n">
        <v>0</v>
      </c>
      <c r="Q54" s="18" t="n">
        <v>12.08130559</v>
      </c>
      <c r="R54" s="20" t="n">
        <v>1.89919438</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(2356.0/B56*100)</f>
        <v/>
      </c>
      <c r="D56" s="19" t="n">
        <v>319</v>
      </c>
      <c r="E56" s="18" t="n">
        <v>74.64311702000001</v>
      </c>
      <c r="F56" s="20" t="n">
        <v>2.58943995</v>
      </c>
      <c r="G56" s="18" t="n">
        <v>25.35688298</v>
      </c>
      <c r="H56" s="20" t="n">
        <v>2.58943995</v>
      </c>
      <c r="I56" s="18" t="s">
        <v>349</v>
      </c>
      <c r="J56" s="20" t="s">
        <v>349</v>
      </c>
      <c r="K56" s="18" t="n">
        <v>0</v>
      </c>
      <c r="L56" s="20" t="n">
        <v>0</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(2802.0/B61*100)</f>
        <v/>
      </c>
      <c r="D61" s="19" t="n">
        <v>399</v>
      </c>
      <c r="E61" s="18" t="n">
        <v>80.25646209</v>
      </c>
      <c r="F61" s="20" t="n">
        <v>2.48659937</v>
      </c>
      <c r="G61" s="18" t="n">
        <v>16.07130889</v>
      </c>
      <c r="H61" s="20" t="n">
        <v>2.31508759</v>
      </c>
      <c r="I61" s="18" t="s">
        <v>349</v>
      </c>
      <c r="J61" s="20" t="s">
        <v>349</v>
      </c>
      <c r="K61" s="18" t="n">
        <v>0.30242692</v>
      </c>
      <c r="L61" s="20" t="n">
        <v>0.30079123</v>
      </c>
      <c r="M61" s="18" t="n">
        <v>0</v>
      </c>
      <c r="N61" s="20" t="n">
        <v>0</v>
      </c>
      <c r="O61" s="18" t="n">
        <v>0</v>
      </c>
      <c r="P61" s="20" t="n">
        <v>0</v>
      </c>
      <c r="Q61" s="18" t="n">
        <v>3.3698021</v>
      </c>
      <c r="R61" s="20" t="n">
        <v>1.00965312</v>
      </c>
    </row>
    <row r="62" spans="1:18">
      <c r="A62" s="15" t="s">
        <v>404</v>
      </c>
      <c r="B62" s="17" t="n">
        <v>2230</v>
      </c>
      <c r="C62" s="18">
        <f>(1969.0/B62*100)</f>
        <v/>
      </c>
      <c r="D62" s="19" t="n">
        <v>261</v>
      </c>
      <c r="E62" s="18" t="n">
        <v>74.32499807000001</v>
      </c>
      <c r="F62" s="20" t="n">
        <v>2.36804658</v>
      </c>
      <c r="G62" s="18" t="n">
        <v>25.29435351</v>
      </c>
      <c r="H62" s="20" t="n">
        <v>2.35197787</v>
      </c>
      <c r="I62" s="18" t="s">
        <v>349</v>
      </c>
      <c r="J62" s="20" t="s">
        <v>349</v>
      </c>
      <c r="K62" s="18" t="n">
        <v>0</v>
      </c>
      <c r="L62" s="20" t="n">
        <v>0</v>
      </c>
      <c r="M62" s="18" t="n">
        <v>0</v>
      </c>
      <c r="N62" s="20" t="n">
        <v>0</v>
      </c>
      <c r="O62" s="18" t="n">
        <v>0</v>
      </c>
      <c r="P62" s="20" t="n">
        <v>0</v>
      </c>
      <c r="Q62" s="18" t="n">
        <v>0.38064841</v>
      </c>
      <c r="R62" s="20" t="n">
        <v>0.37909228</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(2430.0/B66*100)</f>
        <v/>
      </c>
      <c r="D66" s="19" t="n">
        <v>341</v>
      </c>
      <c r="E66" s="18" t="n">
        <v>79.4508474</v>
      </c>
      <c r="F66" s="20" t="n">
        <v>2.18210499</v>
      </c>
      <c r="G66" s="18" t="n">
        <v>5.64110892</v>
      </c>
      <c r="H66" s="20" t="n">
        <v>1.31068325</v>
      </c>
      <c r="I66" s="18" t="s">
        <v>349</v>
      </c>
      <c r="J66" s="20" t="s">
        <v>349</v>
      </c>
      <c r="K66" s="18" t="n">
        <v>0.24724576</v>
      </c>
      <c r="L66" s="20" t="n">
        <v>0.24720305</v>
      </c>
      <c r="M66" s="18" t="n">
        <v>0</v>
      </c>
      <c r="N66" s="20" t="n">
        <v>0</v>
      </c>
      <c r="O66" s="18" t="n">
        <v>0</v>
      </c>
      <c r="P66" s="20" t="n">
        <v>0</v>
      </c>
      <c r="Q66" s="18" t="n">
        <v>14.66079792</v>
      </c>
      <c r="R66" s="20" t="n">
        <v>1.84226903</v>
      </c>
    </row>
    <row r="67" spans="1:18">
      <c r="A67" s="15" t="s">
        <v>409</v>
      </c>
      <c r="B67" s="17" t="n">
        <v>3460</v>
      </c>
      <c r="C67" s="18">
        <f>(3037.0/B67*100)</f>
        <v/>
      </c>
      <c r="D67" s="19" t="n">
        <v>423</v>
      </c>
      <c r="E67" s="18" t="n">
        <v>83.32436515000001</v>
      </c>
      <c r="F67" s="20" t="n">
        <v>2.08520992</v>
      </c>
      <c r="G67" s="18" t="n">
        <v>11.13848223</v>
      </c>
      <c r="H67" s="20" t="n">
        <v>1.62888324</v>
      </c>
      <c r="I67" s="18" t="s">
        <v>349</v>
      </c>
      <c r="J67" s="20" t="s">
        <v>349</v>
      </c>
      <c r="K67" s="18" t="n">
        <v>0</v>
      </c>
      <c r="L67" s="20" t="n">
        <v>0</v>
      </c>
      <c r="M67" s="18" t="n">
        <v>0</v>
      </c>
      <c r="N67" s="20" t="n">
        <v>0</v>
      </c>
      <c r="O67" s="18" t="n">
        <v>0</v>
      </c>
      <c r="P67" s="20" t="n">
        <v>0</v>
      </c>
      <c r="Q67" s="18" t="n">
        <v>5.53715262</v>
      </c>
      <c r="R67" s="20" t="n">
        <v>1.30658872</v>
      </c>
    </row>
    <row r="68" spans="1:18">
      <c r="A68" s="15" t="s">
        <v>410</v>
      </c>
      <c r="B68" s="17" t="n">
        <v>6034</v>
      </c>
      <c r="C68" s="18">
        <f>(5046.0/B68*100)</f>
        <v/>
      </c>
      <c r="D68" s="19" t="n">
        <v>988</v>
      </c>
      <c r="E68" s="18" t="n">
        <v>89.35960240999999</v>
      </c>
      <c r="F68" s="20" t="n">
        <v>0.86501642</v>
      </c>
      <c r="G68" s="18" t="n">
        <v>6.67468948</v>
      </c>
      <c r="H68" s="20" t="n">
        <v>0.7658881400000001</v>
      </c>
      <c r="I68" s="18" t="s">
        <v>349</v>
      </c>
      <c r="J68" s="20" t="s">
        <v>349</v>
      </c>
      <c r="K68" s="18" t="n">
        <v>1.10563011</v>
      </c>
      <c r="L68" s="20" t="n">
        <v>0.37119027</v>
      </c>
      <c r="M68" s="18" t="n">
        <v>0</v>
      </c>
      <c r="N68" s="20" t="n">
        <v>0</v>
      </c>
      <c r="O68" s="18" t="n">
        <v>0</v>
      </c>
      <c r="P68" s="20" t="n">
        <v>0</v>
      </c>
      <c r="Q68" s="18" t="n">
        <v>2.86007799</v>
      </c>
      <c r="R68" s="20" t="n">
        <v>0.49926821</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(2735.0/B70*100)</f>
        <v/>
      </c>
      <c r="D70" s="19" t="n">
        <v>372</v>
      </c>
      <c r="E70" s="18" t="n">
        <v>79.22439979000001</v>
      </c>
      <c r="F70" s="20" t="n">
        <v>2.3130925</v>
      </c>
      <c r="G70" s="18" t="n">
        <v>17.26051534</v>
      </c>
      <c r="H70" s="20" t="n">
        <v>2.47429295</v>
      </c>
      <c r="I70" s="18" t="s">
        <v>349</v>
      </c>
      <c r="J70" s="20" t="s">
        <v>349</v>
      </c>
      <c r="K70" s="18" t="n">
        <v>0.32689176</v>
      </c>
      <c r="L70" s="20" t="n">
        <v>0.23082396</v>
      </c>
      <c r="M70" s="18" t="n">
        <v>0</v>
      </c>
      <c r="N70" s="20" t="n">
        <v>0</v>
      </c>
      <c r="O70" s="18" t="n">
        <v>0</v>
      </c>
      <c r="P70" s="20" t="n">
        <v>0</v>
      </c>
      <c r="Q70" s="18" t="n">
        <v>3.18819311</v>
      </c>
      <c r="R70" s="20" t="n">
        <v>0.90505227</v>
      </c>
    </row>
    <row r="71" spans="1:18">
      <c r="A71" s="15" t="s">
        <v>413</v>
      </c>
      <c r="B71" s="17" t="n">
        <v>2973</v>
      </c>
      <c r="C71" s="18">
        <f>(2593.0/B71*100)</f>
        <v/>
      </c>
      <c r="D71" s="19" t="n">
        <v>380</v>
      </c>
      <c r="E71" s="18" t="n">
        <v>64.59172977</v>
      </c>
      <c r="F71" s="20" t="n">
        <v>2.91612503</v>
      </c>
      <c r="G71" s="18" t="n">
        <v>34.30897952</v>
      </c>
      <c r="H71" s="20" t="n">
        <v>2.8126743</v>
      </c>
      <c r="I71" s="18" t="s">
        <v>349</v>
      </c>
      <c r="J71" s="20" t="s">
        <v>349</v>
      </c>
      <c r="K71" s="18" t="n">
        <v>0</v>
      </c>
      <c r="L71" s="20" t="n">
        <v>0</v>
      </c>
      <c r="M71" s="18" t="n">
        <v>0</v>
      </c>
      <c r="N71" s="20" t="n">
        <v>0</v>
      </c>
      <c r="O71" s="18" t="n">
        <v>0</v>
      </c>
      <c r="P71" s="20" t="n">
        <v>0</v>
      </c>
      <c r="Q71" s="18" t="n">
        <v>1.09929071</v>
      </c>
      <c r="R71" s="20" t="n">
        <v>0.49977361</v>
      </c>
    </row>
    <row r="72" spans="1:18">
      <c r="A72" s="15" t="s">
        <v>414</v>
      </c>
      <c r="B72" s="17" t="n">
        <v>3819</v>
      </c>
      <c r="C72" s="18">
        <f>(3341.0/B72*100)</f>
        <v/>
      </c>
      <c r="D72" s="19" t="n">
        <v>478</v>
      </c>
      <c r="E72" s="18" t="n">
        <v>61.90025892</v>
      </c>
      <c r="F72" s="20" t="n">
        <v>2.34744454</v>
      </c>
      <c r="G72" s="18" t="n">
        <v>36.93253696</v>
      </c>
      <c r="H72" s="20" t="n">
        <v>2.32954146</v>
      </c>
      <c r="I72" s="18" t="s">
        <v>349</v>
      </c>
      <c r="J72" s="20" t="s">
        <v>349</v>
      </c>
      <c r="K72" s="18" t="n">
        <v>0.22597573</v>
      </c>
      <c r="L72" s="20" t="n">
        <v>0.22656799</v>
      </c>
      <c r="M72" s="18" t="n">
        <v>0</v>
      </c>
      <c r="N72" s="20" t="n">
        <v>0</v>
      </c>
      <c r="O72" s="18" t="n">
        <v>0</v>
      </c>
      <c r="P72" s="20" t="n">
        <v>0</v>
      </c>
      <c r="Q72" s="18" t="n">
        <v>0.94122839</v>
      </c>
      <c r="R72" s="20" t="n">
        <v>0.55619916</v>
      </c>
    </row>
    <row r="73" spans="1:18">
      <c r="A73" s="15" t="s">
        <v>415</v>
      </c>
      <c r="B73" s="17" t="n">
        <v>4652</v>
      </c>
      <c r="C73" s="18">
        <f>(4091.0/B73*100)</f>
        <v/>
      </c>
      <c r="D73" s="19" t="n">
        <v>561</v>
      </c>
      <c r="E73" s="18" t="n">
        <v>88.38350366</v>
      </c>
      <c r="F73" s="20" t="n">
        <v>1.81167853</v>
      </c>
      <c r="G73" s="18" t="n">
        <v>11.02946334</v>
      </c>
      <c r="H73" s="20" t="n">
        <v>1.9062911</v>
      </c>
      <c r="I73" s="18" t="s">
        <v>349</v>
      </c>
      <c r="J73" s="20" t="s">
        <v>349</v>
      </c>
      <c r="K73" s="18" t="n">
        <v>0</v>
      </c>
      <c r="L73" s="20" t="n">
        <v>0</v>
      </c>
      <c r="M73" s="18" t="n">
        <v>0</v>
      </c>
      <c r="N73" s="20" t="n">
        <v>0</v>
      </c>
      <c r="O73" s="18" t="n">
        <v>0</v>
      </c>
      <c r="P73" s="20" t="n">
        <v>0</v>
      </c>
      <c r="Q73" s="18" t="n">
        <v>0.587033</v>
      </c>
      <c r="R73" s="20" t="n">
        <v>0.38102175</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(2623.0/B75*100)</f>
        <v/>
      </c>
      <c r="D75" s="19" t="n">
        <v>346</v>
      </c>
      <c r="E75" s="18" t="n">
        <v>89.05225007</v>
      </c>
      <c r="F75" s="20" t="n">
        <v>1.63051836</v>
      </c>
      <c r="G75" s="18" t="n">
        <v>2.09535915</v>
      </c>
      <c r="H75" s="20" t="n">
        <v>0.76817916</v>
      </c>
      <c r="I75" s="18" t="s">
        <v>349</v>
      </c>
      <c r="J75" s="20" t="s">
        <v>349</v>
      </c>
      <c r="K75" s="18" t="n">
        <v>3.45750797</v>
      </c>
      <c r="L75" s="20" t="n">
        <v>1.029631</v>
      </c>
      <c r="M75" s="18" t="n">
        <v>0</v>
      </c>
      <c r="N75" s="20" t="n">
        <v>0</v>
      </c>
      <c r="O75" s="18" t="n">
        <v>0</v>
      </c>
      <c r="P75" s="20" t="n">
        <v>0</v>
      </c>
      <c r="Q75" s="18" t="n">
        <v>5.3948828</v>
      </c>
      <c r="R75" s="20" t="n">
        <v>1.17880256</v>
      </c>
    </row>
    <row r="76" spans="1:18">
      <c r="A76" s="15" t="s">
        <v>418</v>
      </c>
      <c r="B76" s="17" t="n">
        <v>7115</v>
      </c>
      <c r="C76" s="18">
        <f>(6239.0/B76*100)</f>
        <v/>
      </c>
      <c r="D76" s="19" t="n">
        <v>876</v>
      </c>
      <c r="E76" s="18" t="n">
        <v>87.89187733999999</v>
      </c>
      <c r="F76" s="20" t="n">
        <v>1.61629374</v>
      </c>
      <c r="G76" s="18" t="n">
        <v>9.71873574</v>
      </c>
      <c r="H76" s="20" t="n">
        <v>1.5084613</v>
      </c>
      <c r="I76" s="18" t="s">
        <v>349</v>
      </c>
      <c r="J76" s="20" t="s">
        <v>349</v>
      </c>
      <c r="K76" s="18" t="n">
        <v>0.90572257</v>
      </c>
      <c r="L76" s="20" t="n">
        <v>0.37704636</v>
      </c>
      <c r="M76" s="18" t="n">
        <v>0</v>
      </c>
      <c r="N76" s="20" t="n">
        <v>0</v>
      </c>
      <c r="O76" s="18" t="n">
        <v>0</v>
      </c>
      <c r="P76" s="20" t="n">
        <v>0</v>
      </c>
      <c r="Q76" s="18" t="n">
        <v>1.48366435</v>
      </c>
      <c r="R76" s="20" t="n">
        <v>0.48236139</v>
      </c>
    </row>
    <row r="77" spans="1:18">
      <c r="A77" s="15" t="s">
        <v>419</v>
      </c>
      <c r="B77" s="17" t="n">
        <v>3154</v>
      </c>
      <c r="C77" s="18">
        <f>(2776.0/B77*100)</f>
        <v/>
      </c>
      <c r="D77" s="19" t="n">
        <v>378</v>
      </c>
      <c r="E77" s="18" t="n">
        <v>86.64811004000001</v>
      </c>
      <c r="F77" s="20" t="n">
        <v>1.62203221</v>
      </c>
      <c r="G77" s="18" t="n">
        <v>4.54959762</v>
      </c>
      <c r="H77" s="20" t="n">
        <v>0.97341168</v>
      </c>
      <c r="I77" s="18" t="s">
        <v>349</v>
      </c>
      <c r="J77" s="20" t="s">
        <v>349</v>
      </c>
      <c r="K77" s="18" t="n">
        <v>0</v>
      </c>
      <c r="L77" s="20" t="n">
        <v>0</v>
      </c>
      <c r="M77" s="18" t="n">
        <v>0</v>
      </c>
      <c r="N77" s="20" t="n">
        <v>0</v>
      </c>
      <c r="O77" s="18" t="n">
        <v>0</v>
      </c>
      <c r="P77" s="20" t="n">
        <v>0</v>
      </c>
      <c r="Q77" s="18" t="n">
        <v>8.802292339999999</v>
      </c>
      <c r="R77" s="20" t="n">
        <v>1.45492907</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(4119.0/B81*100)</f>
        <v/>
      </c>
      <c r="D81" s="19" t="n">
        <v>579</v>
      </c>
      <c r="E81" s="18" t="n">
        <v>84.16002503999999</v>
      </c>
      <c r="F81" s="20" t="n">
        <v>1.69032749</v>
      </c>
      <c r="G81" s="18" t="n">
        <v>14.52595631</v>
      </c>
      <c r="H81" s="20" t="n">
        <v>1.73122763</v>
      </c>
      <c r="I81" s="18" t="s">
        <v>349</v>
      </c>
      <c r="J81" s="20" t="s">
        <v>349</v>
      </c>
      <c r="K81" s="18" t="n">
        <v>0.23222901</v>
      </c>
      <c r="L81" s="20" t="n">
        <v>0.23162311</v>
      </c>
      <c r="M81" s="18" t="n">
        <v>0</v>
      </c>
      <c r="N81" s="20" t="n">
        <v>0</v>
      </c>
      <c r="O81" s="18" t="n">
        <v>0</v>
      </c>
      <c r="P81" s="20" t="n">
        <v>0</v>
      </c>
      <c r="Q81" s="18" t="n">
        <v>1.08178964</v>
      </c>
      <c r="R81" s="20" t="n">
        <v>0.5325162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(6294.0/B7*100)</f>
        <v/>
      </c>
      <c r="D7" s="19" t="n">
        <v>869</v>
      </c>
      <c r="E7" s="18" t="n">
        <v>64.44927521</v>
      </c>
      <c r="F7" s="20" t="n">
        <v>2.22736141</v>
      </c>
      <c r="G7" s="18" t="n">
        <v>4.99490645</v>
      </c>
      <c r="H7" s="20" t="n">
        <v>0.7305533400000001</v>
      </c>
      <c r="I7" s="18" t="s">
        <v>349</v>
      </c>
      <c r="J7" s="20" t="s">
        <v>349</v>
      </c>
      <c r="K7" s="18" t="n">
        <v>0.57889899</v>
      </c>
      <c r="L7" s="20" t="n">
        <v>0.30376225</v>
      </c>
      <c r="M7" s="18" t="n">
        <v>0</v>
      </c>
      <c r="N7" s="20" t="n">
        <v>0</v>
      </c>
      <c r="O7" s="18" t="n">
        <v>0</v>
      </c>
      <c r="P7" s="20" t="n">
        <v>0</v>
      </c>
      <c r="Q7" s="18" t="n">
        <v>29.97691934</v>
      </c>
      <c r="R7" s="20" t="n">
        <v>2.06479663</v>
      </c>
    </row>
    <row r="8" spans="1:18">
      <c r="A8" s="15" t="s">
        <v>350</v>
      </c>
      <c r="B8" s="17" t="n">
        <v>3443</v>
      </c>
      <c r="C8" s="18">
        <f>(3019.0/B8*100)</f>
        <v/>
      </c>
      <c r="D8" s="19" t="n">
        <v>424</v>
      </c>
      <c r="E8" s="18" t="n">
        <v>50.51309573</v>
      </c>
      <c r="F8" s="20" t="n">
        <v>2.46022513</v>
      </c>
      <c r="G8" s="18" t="n">
        <v>4.75207547</v>
      </c>
      <c r="H8" s="20" t="n">
        <v>1.13175979</v>
      </c>
      <c r="I8" s="18" t="s">
        <v>349</v>
      </c>
      <c r="J8" s="20" t="s">
        <v>349</v>
      </c>
      <c r="K8" s="18" t="n">
        <v>0</v>
      </c>
      <c r="L8" s="20" t="n">
        <v>0</v>
      </c>
      <c r="M8" s="18" t="n">
        <v>0</v>
      </c>
      <c r="N8" s="20" t="n">
        <v>0</v>
      </c>
      <c r="O8" s="18" t="n">
        <v>0</v>
      </c>
      <c r="P8" s="20" t="n">
        <v>0</v>
      </c>
      <c r="Q8" s="18" t="n">
        <v>44.7348288</v>
      </c>
      <c r="R8" s="20" t="n">
        <v>2.62316474</v>
      </c>
    </row>
    <row r="9" spans="1:18">
      <c r="A9" s="15" t="s">
        <v>351</v>
      </c>
      <c r="B9" s="17" t="n">
        <v>4752</v>
      </c>
      <c r="C9" s="18">
        <f>(4191.0/B9*100)</f>
        <v/>
      </c>
      <c r="D9" s="19" t="n">
        <v>561</v>
      </c>
      <c r="E9" s="18" t="n">
        <v>52.92362534</v>
      </c>
      <c r="F9" s="20" t="n">
        <v>1.74526012</v>
      </c>
      <c r="G9" s="18" t="n">
        <v>7.49437722</v>
      </c>
      <c r="H9" s="20" t="n">
        <v>1.03723147</v>
      </c>
      <c r="I9" s="18" t="s">
        <v>349</v>
      </c>
      <c r="J9" s="20" t="s">
        <v>349</v>
      </c>
      <c r="K9" s="18" t="n">
        <v>0.23337399</v>
      </c>
      <c r="L9" s="20" t="n">
        <v>0.18370084</v>
      </c>
      <c r="M9" s="18" t="n">
        <v>0.13440242</v>
      </c>
      <c r="N9" s="20" t="n">
        <v>0.134608</v>
      </c>
      <c r="O9" s="18" t="n">
        <v>0</v>
      </c>
      <c r="P9" s="20" t="n">
        <v>0</v>
      </c>
      <c r="Q9" s="18" t="n">
        <v>39.21422102</v>
      </c>
      <c r="R9" s="20" t="n">
        <v>1.74297474</v>
      </c>
    </row>
    <row r="10" spans="1:18">
      <c r="A10" s="15" t="s">
        <v>352</v>
      </c>
      <c r="B10" s="17" t="n">
        <v>10022</v>
      </c>
      <c r="C10" s="18">
        <f>(8779.0/B10*100)</f>
        <v/>
      </c>
      <c r="D10" s="19" t="n">
        <v>1243</v>
      </c>
      <c r="E10" s="18" t="n">
        <v>71.9273658</v>
      </c>
      <c r="F10" s="20" t="n">
        <v>2.03817914</v>
      </c>
      <c r="G10" s="18" t="n">
        <v>7.00703501</v>
      </c>
      <c r="H10" s="20" t="n">
        <v>1.06874183</v>
      </c>
      <c r="I10" s="18" t="s">
        <v>349</v>
      </c>
      <c r="J10" s="20" t="s">
        <v>349</v>
      </c>
      <c r="K10" s="18" t="n">
        <v>0.13405884</v>
      </c>
      <c r="L10" s="20" t="n">
        <v>0.12233989</v>
      </c>
      <c r="M10" s="18" t="n">
        <v>0.02912786</v>
      </c>
      <c r="N10" s="20" t="n">
        <v>0.02905181</v>
      </c>
      <c r="O10" s="18" t="n">
        <v>0</v>
      </c>
      <c r="P10" s="20" t="n">
        <v>0</v>
      </c>
      <c r="Q10" s="18" t="n">
        <v>20.90241249</v>
      </c>
      <c r="R10" s="20" t="n">
        <v>1.53469105</v>
      </c>
    </row>
    <row r="11" spans="1:18">
      <c r="A11" s="15" t="s">
        <v>353</v>
      </c>
      <c r="B11" s="17" t="n">
        <v>3500</v>
      </c>
      <c r="C11" s="18">
        <f>(3077.0/B11*100)</f>
        <v/>
      </c>
      <c r="D11" s="19" t="n">
        <v>423</v>
      </c>
      <c r="E11" s="18" t="n">
        <v>48.3316324</v>
      </c>
      <c r="F11" s="20" t="n">
        <v>2.53767143</v>
      </c>
      <c r="G11" s="18" t="n">
        <v>1.21194616</v>
      </c>
      <c r="H11" s="20" t="n">
        <v>0.5211738299999999</v>
      </c>
      <c r="I11" s="18" t="s">
        <v>349</v>
      </c>
      <c r="J11" s="20" t="s">
        <v>349</v>
      </c>
      <c r="K11" s="18" t="n">
        <v>0.28529266</v>
      </c>
      <c r="L11" s="20" t="n">
        <v>0.20965874</v>
      </c>
      <c r="M11" s="18" t="n">
        <v>0</v>
      </c>
      <c r="N11" s="20" t="n">
        <v>0</v>
      </c>
      <c r="O11" s="18" t="n">
        <v>0</v>
      </c>
      <c r="P11" s="20" t="n">
        <v>0</v>
      </c>
      <c r="Q11" s="18" t="n">
        <v>50.17112878</v>
      </c>
      <c r="R11" s="20" t="n">
        <v>2.51338522</v>
      </c>
    </row>
    <row r="12" spans="1:18">
      <c r="A12" s="15" t="s">
        <v>354</v>
      </c>
      <c r="B12" s="17" t="n">
        <v>3422</v>
      </c>
      <c r="C12" s="18">
        <f>(3008.0/B12*100)</f>
        <v/>
      </c>
      <c r="D12" s="19" t="n">
        <v>414</v>
      </c>
      <c r="E12" s="18" t="n">
        <v>39.80560855</v>
      </c>
      <c r="F12" s="20" t="n">
        <v>2.58784536</v>
      </c>
      <c r="G12" s="18" t="n">
        <v>5.29830315</v>
      </c>
      <c r="H12" s="20" t="n">
        <v>1.12788963</v>
      </c>
      <c r="I12" s="18" t="s">
        <v>349</v>
      </c>
      <c r="J12" s="20" t="s">
        <v>349</v>
      </c>
      <c r="K12" s="18" t="n">
        <v>0.31943737</v>
      </c>
      <c r="L12" s="20" t="n">
        <v>0.23997318</v>
      </c>
      <c r="M12" s="18" t="n">
        <v>0.09010981</v>
      </c>
      <c r="N12" s="20" t="n">
        <v>0.09080027</v>
      </c>
      <c r="O12" s="18" t="n">
        <v>0</v>
      </c>
      <c r="P12" s="20" t="n">
        <v>0</v>
      </c>
      <c r="Q12" s="18" t="n">
        <v>54.48654112</v>
      </c>
      <c r="R12" s="20" t="n">
        <v>2.91688716</v>
      </c>
    </row>
    <row r="13" spans="1:18">
      <c r="A13" s="15" t="s">
        <v>355</v>
      </c>
      <c r="B13" s="17" t="n">
        <v>3602</v>
      </c>
      <c r="C13" s="18">
        <f>(3194.0/B13*100)</f>
        <v/>
      </c>
      <c r="D13" s="19" t="n">
        <v>408</v>
      </c>
      <c r="E13" s="18" t="n">
        <v>60.3786666</v>
      </c>
      <c r="F13" s="20" t="n">
        <v>3.14252747</v>
      </c>
      <c r="G13" s="18" t="n">
        <v>4.73040844</v>
      </c>
      <c r="H13" s="20" t="n">
        <v>1.32068012</v>
      </c>
      <c r="I13" s="18" t="s">
        <v>349</v>
      </c>
      <c r="J13" s="20" t="s">
        <v>349</v>
      </c>
      <c r="K13" s="18" t="n">
        <v>1.55364742</v>
      </c>
      <c r="L13" s="20" t="n">
        <v>0.96164965</v>
      </c>
      <c r="M13" s="18" t="n">
        <v>0</v>
      </c>
      <c r="N13" s="20" t="n">
        <v>0</v>
      </c>
      <c r="O13" s="18" t="n">
        <v>0</v>
      </c>
      <c r="P13" s="20" t="n">
        <v>0</v>
      </c>
      <c r="Q13" s="18" t="n">
        <v>33.33727753</v>
      </c>
      <c r="R13" s="20" t="n">
        <v>2.81346102</v>
      </c>
    </row>
    <row r="14" spans="1:18">
      <c r="A14" s="15" t="s">
        <v>356</v>
      </c>
      <c r="B14" s="17" t="n">
        <v>2788</v>
      </c>
      <c r="C14" s="18">
        <f>(2436.0/B14*100)</f>
        <v/>
      </c>
      <c r="D14" s="19" t="n">
        <v>352</v>
      </c>
      <c r="E14" s="18" t="n">
        <v>55.95227247</v>
      </c>
      <c r="F14" s="20" t="n">
        <v>2.65365113</v>
      </c>
      <c r="G14" s="18" t="n">
        <v>6.21412845</v>
      </c>
      <c r="H14" s="20" t="n">
        <v>1.24647722</v>
      </c>
      <c r="I14" s="18" t="s">
        <v>349</v>
      </c>
      <c r="J14" s="20" t="s">
        <v>349</v>
      </c>
      <c r="K14" s="18" t="n">
        <v>0</v>
      </c>
      <c r="L14" s="20" t="n">
        <v>0</v>
      </c>
      <c r="M14" s="18" t="n">
        <v>0</v>
      </c>
      <c r="N14" s="20" t="n">
        <v>0</v>
      </c>
      <c r="O14" s="18" t="n">
        <v>0</v>
      </c>
      <c r="P14" s="20" t="n">
        <v>0</v>
      </c>
      <c r="Q14" s="18" t="n">
        <v>37.83359909</v>
      </c>
      <c r="R14" s="20" t="n">
        <v>2.82570051</v>
      </c>
    </row>
    <row r="15" spans="1:18">
      <c r="A15" s="15" t="s">
        <v>357</v>
      </c>
      <c r="B15" s="17" t="n">
        <v>2863</v>
      </c>
      <c r="C15" s="18">
        <f>(2534.0/B15*100)</f>
        <v/>
      </c>
      <c r="D15" s="19" t="n">
        <v>329</v>
      </c>
      <c r="E15" s="18" t="n">
        <v>49.93942442</v>
      </c>
      <c r="F15" s="20" t="n">
        <v>2.87026666</v>
      </c>
      <c r="G15" s="18" t="n">
        <v>5.54390365</v>
      </c>
      <c r="H15" s="20" t="n">
        <v>1.61776916</v>
      </c>
      <c r="I15" s="18" t="s">
        <v>349</v>
      </c>
      <c r="J15" s="20" t="s">
        <v>349</v>
      </c>
      <c r="K15" s="18" t="n">
        <v>0.29475467</v>
      </c>
      <c r="L15" s="20" t="n">
        <v>0.29583835</v>
      </c>
      <c r="M15" s="18" t="n">
        <v>0</v>
      </c>
      <c r="N15" s="20" t="n">
        <v>0</v>
      </c>
      <c r="O15" s="18" t="n">
        <v>0</v>
      </c>
      <c r="P15" s="20" t="n">
        <v>0</v>
      </c>
      <c r="Q15" s="18" t="n">
        <v>44.22191726</v>
      </c>
      <c r="R15" s="20" t="n">
        <v>2.90272058</v>
      </c>
    </row>
    <row r="16" spans="1:18">
      <c r="A16" s="15" t="s">
        <v>358</v>
      </c>
      <c r="B16" s="17" t="n">
        <v>3111</v>
      </c>
      <c r="C16" s="18">
        <f>(2743.0/B16*100)</f>
        <v/>
      </c>
      <c r="D16" s="19" t="n">
        <v>368</v>
      </c>
      <c r="E16" s="18" t="n">
        <v>49.57807003</v>
      </c>
      <c r="F16" s="20" t="n">
        <v>2.7505003</v>
      </c>
      <c r="G16" s="18" t="n">
        <v>5.20888813</v>
      </c>
      <c r="H16" s="20" t="n">
        <v>1.18669097</v>
      </c>
      <c r="I16" s="18" t="s">
        <v>349</v>
      </c>
      <c r="J16" s="20" t="s">
        <v>349</v>
      </c>
      <c r="K16" s="18" t="n">
        <v>0</v>
      </c>
      <c r="L16" s="20" t="n">
        <v>0</v>
      </c>
      <c r="M16" s="18" t="n">
        <v>0</v>
      </c>
      <c r="N16" s="20" t="n">
        <v>0</v>
      </c>
      <c r="O16" s="18" t="n">
        <v>0</v>
      </c>
      <c r="P16" s="20" t="n">
        <v>0</v>
      </c>
      <c r="Q16" s="18" t="n">
        <v>45.21304184</v>
      </c>
      <c r="R16" s="20" t="n">
        <v>2.88588869</v>
      </c>
    </row>
    <row r="17" spans="1:18">
      <c r="A17" s="15" t="s">
        <v>359</v>
      </c>
      <c r="B17" s="17" t="n">
        <v>3197</v>
      </c>
      <c r="C17" s="18">
        <f>(2835.0/B17*100)</f>
        <v/>
      </c>
      <c r="D17" s="19" t="n">
        <v>362</v>
      </c>
      <c r="E17" s="18" t="n">
        <v>45.48321322</v>
      </c>
      <c r="F17" s="20" t="n">
        <v>2.6662193</v>
      </c>
      <c r="G17" s="18" t="n">
        <v>4.6008979</v>
      </c>
      <c r="H17" s="20" t="n">
        <v>1.21876471</v>
      </c>
      <c r="I17" s="18" t="s">
        <v>349</v>
      </c>
      <c r="J17" s="20" t="s">
        <v>349</v>
      </c>
      <c r="K17" s="18" t="n">
        <v>0</v>
      </c>
      <c r="L17" s="20" t="n">
        <v>0</v>
      </c>
      <c r="M17" s="18" t="n">
        <v>0</v>
      </c>
      <c r="N17" s="20" t="n">
        <v>0</v>
      </c>
      <c r="O17" s="18" t="n">
        <v>0</v>
      </c>
      <c r="P17" s="20" t="n">
        <v>0</v>
      </c>
      <c r="Q17" s="18" t="n">
        <v>49.91588888</v>
      </c>
      <c r="R17" s="20" t="n">
        <v>2.96823781</v>
      </c>
    </row>
    <row r="18" spans="1:18">
      <c r="A18" s="15" t="s">
        <v>360</v>
      </c>
      <c r="B18" s="17" t="n">
        <v>2706</v>
      </c>
      <c r="C18" s="18">
        <f>(2379.0/B18*100)</f>
        <v/>
      </c>
      <c r="D18" s="19" t="n">
        <v>327</v>
      </c>
      <c r="E18" s="18" t="n">
        <v>55.33950249</v>
      </c>
      <c r="F18" s="20" t="n">
        <v>2.66428045</v>
      </c>
      <c r="G18" s="18" t="n">
        <v>3.14439125</v>
      </c>
      <c r="H18" s="20" t="n">
        <v>0.99447465</v>
      </c>
      <c r="I18" s="18" t="s">
        <v>349</v>
      </c>
      <c r="J18" s="20" t="s">
        <v>349</v>
      </c>
      <c r="K18" s="18" t="n">
        <v>0.35370025</v>
      </c>
      <c r="L18" s="20" t="n">
        <v>0.34846672</v>
      </c>
      <c r="M18" s="18" t="n">
        <v>0</v>
      </c>
      <c r="N18" s="20" t="n">
        <v>0</v>
      </c>
      <c r="O18" s="18" t="n">
        <v>0</v>
      </c>
      <c r="P18" s="20" t="n">
        <v>0</v>
      </c>
      <c r="Q18" s="18" t="n">
        <v>41.16240601</v>
      </c>
      <c r="R18" s="20" t="n">
        <v>2.75393202</v>
      </c>
    </row>
    <row r="19" spans="1:18">
      <c r="A19" s="15" t="s">
        <v>361</v>
      </c>
      <c r="B19" s="17" t="n">
        <v>2850</v>
      </c>
      <c r="C19" s="18">
        <f>(2503.0/B19*100)</f>
        <v/>
      </c>
      <c r="D19" s="19" t="n">
        <v>347</v>
      </c>
      <c r="E19" s="18" t="n">
        <v>40.74609005</v>
      </c>
      <c r="F19" s="20" t="n">
        <v>2.57692051</v>
      </c>
      <c r="G19" s="18" t="n">
        <v>6.78290335</v>
      </c>
      <c r="H19" s="20" t="n">
        <v>1.28455287</v>
      </c>
      <c r="I19" s="18" t="s">
        <v>349</v>
      </c>
      <c r="J19" s="20" t="s">
        <v>349</v>
      </c>
      <c r="K19" s="18" t="n">
        <v>0.30900422</v>
      </c>
      <c r="L19" s="20" t="n">
        <v>0.31135767</v>
      </c>
      <c r="M19" s="18" t="n">
        <v>0</v>
      </c>
      <c r="N19" s="20" t="n">
        <v>0</v>
      </c>
      <c r="O19" s="18" t="n">
        <v>0</v>
      </c>
      <c r="P19" s="20" t="n">
        <v>0</v>
      </c>
      <c r="Q19" s="18" t="n">
        <v>52.16200239</v>
      </c>
      <c r="R19" s="20" t="n">
        <v>2.35964892</v>
      </c>
    </row>
    <row r="20" spans="1:18">
      <c r="A20" s="15" t="s">
        <v>362</v>
      </c>
      <c r="B20" s="17" t="n">
        <v>1741</v>
      </c>
      <c r="C20" s="18">
        <f>(1528.0/B20*100)</f>
        <v/>
      </c>
      <c r="D20" s="19" t="n">
        <v>213</v>
      </c>
      <c r="E20" s="18" t="n">
        <v>54.13005159</v>
      </c>
      <c r="F20" s="20" t="n">
        <v>3.2767682</v>
      </c>
      <c r="G20" s="18" t="n">
        <v>3.56095988</v>
      </c>
      <c r="H20" s="20" t="n">
        <v>1.25589307</v>
      </c>
      <c r="I20" s="18" t="s">
        <v>349</v>
      </c>
      <c r="J20" s="20" t="s">
        <v>349</v>
      </c>
      <c r="K20" s="18" t="n">
        <v>0.43620609</v>
      </c>
      <c r="L20" s="20" t="n">
        <v>0.436648</v>
      </c>
      <c r="M20" s="18" t="n">
        <v>0</v>
      </c>
      <c r="N20" s="20" t="n">
        <v>0</v>
      </c>
      <c r="O20" s="18" t="n">
        <v>0</v>
      </c>
      <c r="P20" s="20" t="n">
        <v>0</v>
      </c>
      <c r="Q20" s="18" t="n">
        <v>41.87278244</v>
      </c>
      <c r="R20" s="20" t="n">
        <v>3.05216098</v>
      </c>
    </row>
    <row r="21" spans="1:18">
      <c r="A21" s="15" t="s">
        <v>363</v>
      </c>
      <c r="B21" s="17" t="n">
        <v>2833</v>
      </c>
      <c r="C21" s="18">
        <f>(2349.0/B21*100)</f>
        <v/>
      </c>
      <c r="D21" s="19" t="n">
        <v>484</v>
      </c>
      <c r="E21" s="18" t="n">
        <v>66.9525704</v>
      </c>
      <c r="F21" s="20" t="n">
        <v>2.60997527</v>
      </c>
      <c r="G21" s="18" t="n">
        <v>3.16545245</v>
      </c>
      <c r="H21" s="20" t="n">
        <v>0.72499779</v>
      </c>
      <c r="I21" s="18" t="s">
        <v>349</v>
      </c>
      <c r="J21" s="20" t="s">
        <v>349</v>
      </c>
      <c r="K21" s="18" t="n">
        <v>0.19139709</v>
      </c>
      <c r="L21" s="20" t="n">
        <v>0.19055657</v>
      </c>
      <c r="M21" s="18" t="n">
        <v>0.25242223</v>
      </c>
      <c r="N21" s="20" t="n">
        <v>0.25300951</v>
      </c>
      <c r="O21" s="18" t="n">
        <v>0</v>
      </c>
      <c r="P21" s="20" t="n">
        <v>0</v>
      </c>
      <c r="Q21" s="18" t="n">
        <v>29.43815783</v>
      </c>
      <c r="R21" s="20" t="n">
        <v>2.52942977</v>
      </c>
    </row>
    <row r="22" spans="1:18">
      <c r="A22" s="15" t="s">
        <v>364</v>
      </c>
      <c r="B22" s="17" t="n">
        <v>3667</v>
      </c>
      <c r="C22" s="18">
        <f>(3181.0/B22*100)</f>
        <v/>
      </c>
      <c r="D22" s="19" t="n">
        <v>486</v>
      </c>
      <c r="E22" s="18" t="n">
        <v>48.57391121</v>
      </c>
      <c r="F22" s="20" t="n">
        <v>2.24665328</v>
      </c>
      <c r="G22" s="18" t="n">
        <v>7.92171544</v>
      </c>
      <c r="H22" s="20" t="n">
        <v>1.21781554</v>
      </c>
      <c r="I22" s="18" t="s">
        <v>349</v>
      </c>
      <c r="J22" s="20" t="s">
        <v>349</v>
      </c>
      <c r="K22" s="18" t="n">
        <v>1.23372755</v>
      </c>
      <c r="L22" s="20" t="n">
        <v>0.50664335</v>
      </c>
      <c r="M22" s="18" t="n">
        <v>0</v>
      </c>
      <c r="N22" s="20" t="n">
        <v>0</v>
      </c>
      <c r="O22" s="18" t="n">
        <v>0</v>
      </c>
      <c r="P22" s="20" t="n">
        <v>0</v>
      </c>
      <c r="Q22" s="18" t="n">
        <v>42.2706458</v>
      </c>
      <c r="R22" s="20" t="n">
        <v>2.19138152</v>
      </c>
    </row>
    <row r="23" spans="1:18">
      <c r="A23" s="15" t="s">
        <v>365</v>
      </c>
      <c r="B23" s="17" t="n">
        <v>5792</v>
      </c>
      <c r="C23" s="18">
        <f>(5083.0/B23*100)</f>
        <v/>
      </c>
      <c r="D23" s="19" t="n">
        <v>709</v>
      </c>
      <c r="E23" s="18" t="n">
        <v>39.2226734</v>
      </c>
      <c r="F23" s="20" t="n">
        <v>2.73354004</v>
      </c>
      <c r="G23" s="18" t="n">
        <v>3.57723827</v>
      </c>
      <c r="H23" s="20" t="n">
        <v>0.8970830400000001</v>
      </c>
      <c r="I23" s="18" t="s">
        <v>349</v>
      </c>
      <c r="J23" s="20" t="s">
        <v>349</v>
      </c>
      <c r="K23" s="18" t="n">
        <v>0.79039249</v>
      </c>
      <c r="L23" s="20" t="n">
        <v>0.33409859</v>
      </c>
      <c r="M23" s="18" t="n">
        <v>0</v>
      </c>
      <c r="N23" s="20" t="n">
        <v>0</v>
      </c>
      <c r="O23" s="18" t="n">
        <v>0</v>
      </c>
      <c r="P23" s="20" t="n">
        <v>0</v>
      </c>
      <c r="Q23" s="18" t="n">
        <v>56.40969584</v>
      </c>
      <c r="R23" s="20" t="n">
        <v>2.79438903</v>
      </c>
    </row>
    <row r="24" spans="1:18">
      <c r="A24" s="15" t="s">
        <v>366</v>
      </c>
      <c r="B24" s="17" t="n">
        <v>3309</v>
      </c>
      <c r="C24" s="18">
        <f>(2908.0/B24*100)</f>
        <v/>
      </c>
      <c r="D24" s="19" t="n">
        <v>401</v>
      </c>
      <c r="E24" s="18" t="n">
        <v>48.56129452</v>
      </c>
      <c r="F24" s="20" t="n">
        <v>2.47096401</v>
      </c>
      <c r="G24" s="18" t="n">
        <v>11.90941915</v>
      </c>
      <c r="H24" s="20" t="n">
        <v>1.68860416</v>
      </c>
      <c r="I24" s="18" t="s">
        <v>349</v>
      </c>
      <c r="J24" s="20" t="s">
        <v>349</v>
      </c>
      <c r="K24" s="18" t="n">
        <v>0</v>
      </c>
      <c r="L24" s="20" t="n">
        <v>0</v>
      </c>
      <c r="M24" s="18" t="n">
        <v>0</v>
      </c>
      <c r="N24" s="20" t="n">
        <v>0</v>
      </c>
      <c r="O24" s="18" t="n">
        <v>0</v>
      </c>
      <c r="P24" s="20" t="n">
        <v>0</v>
      </c>
      <c r="Q24" s="18" t="n">
        <v>39.52928633</v>
      </c>
      <c r="R24" s="20" t="n">
        <v>2.31924436</v>
      </c>
    </row>
    <row r="25" spans="1:18">
      <c r="A25" s="15" t="s">
        <v>367</v>
      </c>
      <c r="B25" s="17" t="n">
        <v>2669</v>
      </c>
      <c r="C25" s="18">
        <f>(2338.0/B25*100)</f>
        <v/>
      </c>
      <c r="D25" s="19" t="n">
        <v>331</v>
      </c>
      <c r="E25" s="18" t="n">
        <v>50.68086951</v>
      </c>
      <c r="F25" s="20" t="n">
        <v>2.81097945</v>
      </c>
      <c r="G25" s="18" t="n">
        <v>20.79951321</v>
      </c>
      <c r="H25" s="20" t="n">
        <v>2.69592345</v>
      </c>
      <c r="I25" s="18" t="s">
        <v>349</v>
      </c>
      <c r="J25" s="20" t="s">
        <v>349</v>
      </c>
      <c r="K25" s="18" t="n">
        <v>0.27478707</v>
      </c>
      <c r="L25" s="20" t="n">
        <v>0.38770941</v>
      </c>
      <c r="M25" s="18" t="n">
        <v>0</v>
      </c>
      <c r="N25" s="20" t="n">
        <v>0</v>
      </c>
      <c r="O25" s="18" t="n">
        <v>0</v>
      </c>
      <c r="P25" s="20" t="n">
        <v>0</v>
      </c>
      <c r="Q25" s="18" t="n">
        <v>28.24483021</v>
      </c>
      <c r="R25" s="20" t="n">
        <v>2.25851324</v>
      </c>
    </row>
    <row r="26" spans="1:18">
      <c r="A26" s="15" t="s">
        <v>368</v>
      </c>
      <c r="B26" s="17" t="n">
        <v>2419</v>
      </c>
      <c r="C26" s="18">
        <f>(2126.0/B26*100)</f>
        <v/>
      </c>
      <c r="D26" s="19" t="n">
        <v>293</v>
      </c>
      <c r="E26" s="18" t="n">
        <v>63.53719673</v>
      </c>
      <c r="F26" s="20" t="n">
        <v>3.17201666</v>
      </c>
      <c r="G26" s="18" t="n">
        <v>5.44918487</v>
      </c>
      <c r="H26" s="20" t="n">
        <v>1.40375125</v>
      </c>
      <c r="I26" s="18" t="s">
        <v>349</v>
      </c>
      <c r="J26" s="20" t="s">
        <v>349</v>
      </c>
      <c r="K26" s="18" t="n">
        <v>0.63107339</v>
      </c>
      <c r="L26" s="20" t="n">
        <v>0.61182972</v>
      </c>
      <c r="M26" s="18" t="n">
        <v>0</v>
      </c>
      <c r="N26" s="20" t="n">
        <v>0</v>
      </c>
      <c r="O26" s="18" t="n">
        <v>0</v>
      </c>
      <c r="P26" s="20" t="n">
        <v>0</v>
      </c>
      <c r="Q26" s="18" t="n">
        <v>30.38254501</v>
      </c>
      <c r="R26" s="20" t="n">
        <v>3.14966399</v>
      </c>
    </row>
    <row r="27" spans="1:18">
      <c r="A27" s="15" t="s">
        <v>369</v>
      </c>
      <c r="B27" s="17" t="n">
        <v>2683</v>
      </c>
      <c r="C27" s="18">
        <f>(2357.0/B27*100)</f>
        <v/>
      </c>
      <c r="D27" s="19" t="n">
        <v>326</v>
      </c>
      <c r="E27" s="18" t="n">
        <v>54.61545997</v>
      </c>
      <c r="F27" s="20" t="n">
        <v>2.94840323</v>
      </c>
      <c r="G27" s="18" t="n">
        <v>5.4535754</v>
      </c>
      <c r="H27" s="20" t="n">
        <v>1.33233251</v>
      </c>
      <c r="I27" s="18" t="s">
        <v>349</v>
      </c>
      <c r="J27" s="20" t="s">
        <v>349</v>
      </c>
      <c r="K27" s="18" t="n">
        <v>0</v>
      </c>
      <c r="L27" s="20" t="n">
        <v>0</v>
      </c>
      <c r="M27" s="18" t="n">
        <v>0.30638233</v>
      </c>
      <c r="N27" s="20" t="n">
        <v>0.30275716</v>
      </c>
      <c r="O27" s="18" t="n">
        <v>0</v>
      </c>
      <c r="P27" s="20" t="n">
        <v>0</v>
      </c>
      <c r="Q27" s="18" t="n">
        <v>39.62458229</v>
      </c>
      <c r="R27" s="20" t="n">
        <v>2.9026183</v>
      </c>
    </row>
    <row r="28" spans="1:18">
      <c r="A28" s="15" t="s">
        <v>370</v>
      </c>
      <c r="B28" s="17" t="n">
        <v>3803</v>
      </c>
      <c r="C28" s="18">
        <f>(3359.0/B28*100)</f>
        <v/>
      </c>
      <c r="D28" s="19" t="n">
        <v>444</v>
      </c>
      <c r="E28" s="18" t="n">
        <v>72.58663722999999</v>
      </c>
      <c r="F28" s="20" t="n">
        <v>2.45714495</v>
      </c>
      <c r="G28" s="18" t="n">
        <v>0.32825889</v>
      </c>
      <c r="H28" s="20" t="n">
        <v>0.33531861</v>
      </c>
      <c r="I28" s="18" t="s">
        <v>349</v>
      </c>
      <c r="J28" s="20" t="s">
        <v>349</v>
      </c>
      <c r="K28" s="18" t="n">
        <v>0.21111995</v>
      </c>
      <c r="L28" s="20" t="n">
        <v>0.2113585</v>
      </c>
      <c r="M28" s="18" t="n">
        <v>0</v>
      </c>
      <c r="N28" s="20" t="n">
        <v>0</v>
      </c>
      <c r="O28" s="18" t="n">
        <v>0</v>
      </c>
      <c r="P28" s="20" t="n">
        <v>0</v>
      </c>
      <c r="Q28" s="18" t="n">
        <v>26.87398394</v>
      </c>
      <c r="R28" s="20" t="n">
        <v>2.50614514</v>
      </c>
    </row>
    <row r="29" spans="1:18">
      <c r="A29" s="15" t="s">
        <v>371</v>
      </c>
      <c r="B29" s="17" t="n">
        <v>2700</v>
      </c>
      <c r="C29" s="18">
        <f>(2327.0/B29*100)</f>
        <v/>
      </c>
      <c r="D29" s="19" t="n">
        <v>373</v>
      </c>
      <c r="E29" s="18" t="n">
        <v>70.8519639</v>
      </c>
      <c r="F29" s="20" t="n">
        <v>2.77413179</v>
      </c>
      <c r="G29" s="18" t="n">
        <v>3.96960684</v>
      </c>
      <c r="H29" s="20" t="n">
        <v>1.12043324</v>
      </c>
      <c r="I29" s="18" t="s">
        <v>349</v>
      </c>
      <c r="J29" s="20" t="s">
        <v>349</v>
      </c>
      <c r="K29" s="18" t="n">
        <v>0.87823892</v>
      </c>
      <c r="L29" s="20" t="n">
        <v>0.44433897</v>
      </c>
      <c r="M29" s="18" t="n">
        <v>0</v>
      </c>
      <c r="N29" s="20" t="n">
        <v>0</v>
      </c>
      <c r="O29" s="18" t="n">
        <v>0</v>
      </c>
      <c r="P29" s="20" t="n">
        <v>0</v>
      </c>
      <c r="Q29" s="18" t="n">
        <v>24.30019034</v>
      </c>
      <c r="R29" s="20" t="n">
        <v>2.43971803</v>
      </c>
    </row>
    <row r="30" spans="1:18">
      <c r="A30" s="15" t="s">
        <v>372</v>
      </c>
      <c r="B30" s="17" t="n">
        <v>2257</v>
      </c>
      <c r="C30" s="18">
        <f>(1976.0/B30*100)</f>
        <v/>
      </c>
      <c r="D30" s="19" t="n">
        <v>281</v>
      </c>
      <c r="E30" s="18" t="n">
        <v>58.12487965</v>
      </c>
      <c r="F30" s="20" t="n">
        <v>2.96939096</v>
      </c>
      <c r="G30" s="18" t="n">
        <v>7.00319472</v>
      </c>
      <c r="H30" s="20" t="n">
        <v>1.4825792</v>
      </c>
      <c r="I30" s="18" t="s">
        <v>349</v>
      </c>
      <c r="J30" s="20" t="s">
        <v>349</v>
      </c>
      <c r="K30" s="18" t="n">
        <v>0.471446</v>
      </c>
      <c r="L30" s="20" t="n">
        <v>0.63296036</v>
      </c>
      <c r="M30" s="18" t="n">
        <v>0</v>
      </c>
      <c r="N30" s="20" t="n">
        <v>0</v>
      </c>
      <c r="O30" s="18" t="n">
        <v>0</v>
      </c>
      <c r="P30" s="20" t="n">
        <v>0</v>
      </c>
      <c r="Q30" s="18" t="n">
        <v>34.40047964</v>
      </c>
      <c r="R30" s="20" t="n">
        <v>2.86401667</v>
      </c>
    </row>
    <row r="31" spans="1:18">
      <c r="A31" s="15" t="s">
        <v>373</v>
      </c>
      <c r="B31" s="17" t="n">
        <v>2706</v>
      </c>
      <c r="C31" s="18">
        <f>(2387.0/B31*100)</f>
        <v/>
      </c>
      <c r="D31" s="19" t="n">
        <v>319</v>
      </c>
      <c r="E31" s="18" t="n">
        <v>56.60439997</v>
      </c>
      <c r="F31" s="20" t="n">
        <v>3.13856533</v>
      </c>
      <c r="G31" s="18" t="n">
        <v>5.23483572</v>
      </c>
      <c r="H31" s="20" t="n">
        <v>1.29554998</v>
      </c>
      <c r="I31" s="18" t="s">
        <v>349</v>
      </c>
      <c r="J31" s="20" t="s">
        <v>349</v>
      </c>
      <c r="K31" s="18" t="n">
        <v>1.03895725</v>
      </c>
      <c r="L31" s="20" t="n">
        <v>0.6510336799999999</v>
      </c>
      <c r="M31" s="18" t="n">
        <v>0.33712701</v>
      </c>
      <c r="N31" s="20" t="n">
        <v>0.33599908</v>
      </c>
      <c r="O31" s="18" t="n">
        <v>0</v>
      </c>
      <c r="P31" s="20" t="n">
        <v>0</v>
      </c>
      <c r="Q31" s="18" t="n">
        <v>36.78468006</v>
      </c>
      <c r="R31" s="20" t="n">
        <v>2.89807485</v>
      </c>
    </row>
    <row r="32" spans="1:18">
      <c r="A32" s="15" t="s">
        <v>374</v>
      </c>
      <c r="B32" s="17" t="n">
        <v>2209</v>
      </c>
      <c r="C32" s="18">
        <f>(1850.0/B32*100)</f>
        <v/>
      </c>
      <c r="D32" s="19" t="n">
        <v>359</v>
      </c>
      <c r="E32" s="18" t="n">
        <v>56.64466208</v>
      </c>
      <c r="F32" s="20" t="n">
        <v>2.69012585</v>
      </c>
      <c r="G32" s="18" t="n">
        <v>6.22353625</v>
      </c>
      <c r="H32" s="20" t="n">
        <v>1.50930958</v>
      </c>
      <c r="I32" s="18" t="s">
        <v>349</v>
      </c>
      <c r="J32" s="20" t="s">
        <v>349</v>
      </c>
      <c r="K32" s="18" t="n">
        <v>0.50368181</v>
      </c>
      <c r="L32" s="20" t="n">
        <v>0.36191483</v>
      </c>
      <c r="M32" s="18" t="n">
        <v>1.17879747</v>
      </c>
      <c r="N32" s="20" t="n">
        <v>1.24232623</v>
      </c>
      <c r="O32" s="18" t="n">
        <v>0</v>
      </c>
      <c r="P32" s="20" t="n">
        <v>0</v>
      </c>
      <c r="Q32" s="18" t="n">
        <v>35.44932239</v>
      </c>
      <c r="R32" s="20" t="n">
        <v>2.80270369</v>
      </c>
    </row>
    <row r="33" spans="1:18">
      <c r="A33" s="15" t="s">
        <v>375</v>
      </c>
      <c r="B33" s="17" t="n">
        <v>3651</v>
      </c>
      <c r="C33" s="18">
        <f>(3219.0/B33*100)</f>
        <v/>
      </c>
      <c r="D33" s="19" t="n">
        <v>432</v>
      </c>
      <c r="E33" s="18" t="n">
        <v>54.55605907</v>
      </c>
      <c r="F33" s="20" t="n">
        <v>3.26172414</v>
      </c>
      <c r="G33" s="18" t="n">
        <v>2.64427081</v>
      </c>
      <c r="H33" s="20" t="n">
        <v>1.11514243</v>
      </c>
      <c r="I33" s="18" t="s">
        <v>349</v>
      </c>
      <c r="J33" s="20" t="s">
        <v>349</v>
      </c>
      <c r="K33" s="18" t="n">
        <v>0</v>
      </c>
      <c r="L33" s="20" t="n">
        <v>0</v>
      </c>
      <c r="M33" s="18" t="n">
        <v>0</v>
      </c>
      <c r="N33" s="20" t="n">
        <v>0</v>
      </c>
      <c r="O33" s="18" t="n">
        <v>0</v>
      </c>
      <c r="P33" s="20" t="n">
        <v>0</v>
      </c>
      <c r="Q33" s="18" t="n">
        <v>42.79967011</v>
      </c>
      <c r="R33" s="20" t="n">
        <v>3.59160926</v>
      </c>
    </row>
    <row r="34" spans="1:18">
      <c r="A34" s="15" t="s">
        <v>376</v>
      </c>
      <c r="B34" s="17" t="n">
        <v>3035</v>
      </c>
      <c r="C34" s="18">
        <f>(2651.0/B34*100)</f>
        <v/>
      </c>
      <c r="D34" s="19" t="n">
        <v>384</v>
      </c>
      <c r="E34" s="18" t="n">
        <v>51.34137183</v>
      </c>
      <c r="F34" s="20" t="n">
        <v>2.32634027</v>
      </c>
      <c r="G34" s="18" t="n">
        <v>5.43860208</v>
      </c>
      <c r="H34" s="20" t="n">
        <v>1.5606684</v>
      </c>
      <c r="I34" s="18" t="s">
        <v>349</v>
      </c>
      <c r="J34" s="20" t="s">
        <v>349</v>
      </c>
      <c r="K34" s="18" t="n">
        <v>0.28424744</v>
      </c>
      <c r="L34" s="20" t="n">
        <v>0.28366309</v>
      </c>
      <c r="M34" s="18" t="n">
        <v>0</v>
      </c>
      <c r="N34" s="20" t="n">
        <v>0</v>
      </c>
      <c r="O34" s="18" t="n">
        <v>0</v>
      </c>
      <c r="P34" s="20" t="n">
        <v>0</v>
      </c>
      <c r="Q34" s="18" t="n">
        <v>42.93577865</v>
      </c>
      <c r="R34" s="20" t="n">
        <v>2.53040898</v>
      </c>
    </row>
    <row r="35" spans="1:18">
      <c r="A35" s="15" t="s">
        <v>377</v>
      </c>
      <c r="B35" s="17" t="n">
        <v>2901</v>
      </c>
      <c r="C35" s="18">
        <f>(2551.0/B35*100)</f>
        <v/>
      </c>
      <c r="D35" s="19" t="n">
        <v>350</v>
      </c>
      <c r="E35" s="18" t="n">
        <v>47.84094132</v>
      </c>
      <c r="F35" s="20" t="n">
        <v>3.21453287</v>
      </c>
      <c r="G35" s="18" t="n">
        <v>11.41774185</v>
      </c>
      <c r="H35" s="20" t="n">
        <v>2.38588157</v>
      </c>
      <c r="I35" s="18" t="s">
        <v>349</v>
      </c>
      <c r="J35" s="20" t="s">
        <v>349</v>
      </c>
      <c r="K35" s="18" t="n">
        <v>0</v>
      </c>
      <c r="L35" s="20" t="n">
        <v>0</v>
      </c>
      <c r="M35" s="18" t="n">
        <v>0</v>
      </c>
      <c r="N35" s="20" t="n">
        <v>0</v>
      </c>
      <c r="O35" s="18" t="n">
        <v>0</v>
      </c>
      <c r="P35" s="20" t="n">
        <v>0</v>
      </c>
      <c r="Q35" s="18" t="n">
        <v>40.74131683</v>
      </c>
      <c r="R35" s="20" t="n">
        <v>3.09904884</v>
      </c>
    </row>
    <row r="36" spans="1:18">
      <c r="A36" s="15" t="s">
        <v>378</v>
      </c>
      <c r="B36" s="17" t="n">
        <v>3404</v>
      </c>
      <c r="C36" s="18">
        <f>(2979.0/B36*100)</f>
        <v/>
      </c>
      <c r="D36" s="19" t="n">
        <v>425</v>
      </c>
      <c r="E36" s="18" t="n">
        <v>54.44710784</v>
      </c>
      <c r="F36" s="20" t="n">
        <v>2.67746681</v>
      </c>
      <c r="G36" s="18" t="n">
        <v>3.18271785</v>
      </c>
      <c r="H36" s="20" t="n">
        <v>0.76106208</v>
      </c>
      <c r="I36" s="18" t="s">
        <v>349</v>
      </c>
      <c r="J36" s="20" t="s">
        <v>349</v>
      </c>
      <c r="K36" s="18" t="n">
        <v>0.39976151</v>
      </c>
      <c r="L36" s="20" t="n">
        <v>0.29894177</v>
      </c>
      <c r="M36" s="18" t="n">
        <v>0</v>
      </c>
      <c r="N36" s="20" t="n">
        <v>0</v>
      </c>
      <c r="O36" s="18" t="n">
        <v>0</v>
      </c>
      <c r="P36" s="20" t="n">
        <v>0</v>
      </c>
      <c r="Q36" s="18" t="n">
        <v>41.9704128</v>
      </c>
      <c r="R36" s="20" t="n">
        <v>2.82116602</v>
      </c>
    </row>
    <row r="37" spans="1:18">
      <c r="A37" s="15" t="s">
        <v>379</v>
      </c>
      <c r="B37" s="17" t="n">
        <v>2731</v>
      </c>
      <c r="C37" s="18">
        <f>(2404.0/B37*100)</f>
        <v/>
      </c>
      <c r="D37" s="19" t="n">
        <v>327</v>
      </c>
      <c r="E37" s="18" t="n">
        <v>55.02374346</v>
      </c>
      <c r="F37" s="20" t="n">
        <v>2.87380637</v>
      </c>
      <c r="G37" s="18" t="n">
        <v>1.82732345</v>
      </c>
      <c r="H37" s="20" t="n">
        <v>0.87585698</v>
      </c>
      <c r="I37" s="18" t="s">
        <v>349</v>
      </c>
      <c r="J37" s="20" t="s">
        <v>349</v>
      </c>
      <c r="K37" s="18" t="n">
        <v>0.6759916</v>
      </c>
      <c r="L37" s="20" t="n">
        <v>0.46480859</v>
      </c>
      <c r="M37" s="18" t="n">
        <v>0.31971222</v>
      </c>
      <c r="N37" s="20" t="n">
        <v>0.2251678</v>
      </c>
      <c r="O37" s="18" t="n">
        <v>0</v>
      </c>
      <c r="P37" s="20" t="n">
        <v>0</v>
      </c>
      <c r="Q37" s="18" t="n">
        <v>42.15322926</v>
      </c>
      <c r="R37" s="20" t="n">
        <v>2.7262814</v>
      </c>
    </row>
    <row r="38" spans="1:18">
      <c r="A38" s="15" t="s">
        <v>380</v>
      </c>
      <c r="B38" s="17" t="n">
        <v>2807</v>
      </c>
      <c r="C38" s="18">
        <f>(2331.0/B38*100)</f>
        <v/>
      </c>
      <c r="D38" s="19" t="n">
        <v>476</v>
      </c>
      <c r="E38" s="18" t="n">
        <v>54.27618188</v>
      </c>
      <c r="F38" s="20" t="n">
        <v>2.74789897</v>
      </c>
      <c r="G38" s="18" t="n">
        <v>7.39895473</v>
      </c>
      <c r="H38" s="20" t="n">
        <v>1.11278012</v>
      </c>
      <c r="I38" s="18" t="s">
        <v>349</v>
      </c>
      <c r="J38" s="20" t="s">
        <v>349</v>
      </c>
      <c r="K38" s="18" t="n">
        <v>0.22624227</v>
      </c>
      <c r="L38" s="20" t="n">
        <v>0.19888026</v>
      </c>
      <c r="M38" s="18" t="n">
        <v>0</v>
      </c>
      <c r="N38" s="20" t="n">
        <v>0</v>
      </c>
      <c r="O38" s="18" t="n">
        <v>0</v>
      </c>
      <c r="P38" s="20" t="n">
        <v>0</v>
      </c>
      <c r="Q38" s="18" t="n">
        <v>38.09862112</v>
      </c>
      <c r="R38" s="20" t="n">
        <v>2.63614376</v>
      </c>
    </row>
    <row r="39" spans="1:18">
      <c r="A39" s="15" t="s">
        <v>381</v>
      </c>
      <c r="B39" s="17" t="n">
        <v>2938</v>
      </c>
      <c r="C39" s="18">
        <f>(2570.0/B39*100)</f>
        <v/>
      </c>
      <c r="D39" s="19" t="n">
        <v>368</v>
      </c>
      <c r="E39" s="18" t="n">
        <v>58.57885339</v>
      </c>
      <c r="F39" s="20" t="n">
        <v>2.66893033</v>
      </c>
      <c r="G39" s="18" t="n">
        <v>2.3765763</v>
      </c>
      <c r="H39" s="20" t="n">
        <v>0.83541163</v>
      </c>
      <c r="I39" s="18" t="s">
        <v>349</v>
      </c>
      <c r="J39" s="20" t="s">
        <v>349</v>
      </c>
      <c r="K39" s="18" t="n">
        <v>0</v>
      </c>
      <c r="L39" s="20" t="n">
        <v>0</v>
      </c>
      <c r="M39" s="18" t="n">
        <v>0</v>
      </c>
      <c r="N39" s="20" t="n">
        <v>0</v>
      </c>
      <c r="O39" s="18" t="n">
        <v>0</v>
      </c>
      <c r="P39" s="20" t="n">
        <v>0</v>
      </c>
      <c r="Q39" s="18" t="n">
        <v>39.04457031</v>
      </c>
      <c r="R39" s="20" t="n">
        <v>2.48962826</v>
      </c>
    </row>
    <row r="40" spans="1:18">
      <c r="A40" s="15" t="s">
        <v>382</v>
      </c>
      <c r="B40" s="17" t="n">
        <v>6922</v>
      </c>
      <c r="C40" s="18">
        <f>(6056.0/B40*100)</f>
        <v/>
      </c>
      <c r="D40" s="19" t="n">
        <v>866</v>
      </c>
      <c r="E40" s="18" t="n">
        <v>66.16157459999999</v>
      </c>
      <c r="F40" s="20" t="n">
        <v>2.10529431</v>
      </c>
      <c r="G40" s="18" t="n">
        <v>2.80345284</v>
      </c>
      <c r="H40" s="20" t="n">
        <v>0.7323802</v>
      </c>
      <c r="I40" s="18" t="s">
        <v>349</v>
      </c>
      <c r="J40" s="20" t="s">
        <v>349</v>
      </c>
      <c r="K40" s="18" t="n">
        <v>0.89319932</v>
      </c>
      <c r="L40" s="20" t="n">
        <v>0.542021</v>
      </c>
      <c r="M40" s="18" t="n">
        <v>0.36460952</v>
      </c>
      <c r="N40" s="20" t="n">
        <v>0.37940895</v>
      </c>
      <c r="O40" s="18" t="n">
        <v>0</v>
      </c>
      <c r="P40" s="20" t="n">
        <v>0</v>
      </c>
      <c r="Q40" s="18" t="n">
        <v>29.77716373</v>
      </c>
      <c r="R40" s="20" t="n">
        <v>1.95672101</v>
      </c>
    </row>
    <row r="41" spans="1:18">
      <c r="A41" s="15" t="s">
        <v>383</v>
      </c>
      <c r="B41" s="17" t="n">
        <v>2854</v>
      </c>
      <c r="C41" s="18">
        <f>(2502.0/B41*100)</f>
        <v/>
      </c>
      <c r="D41" s="19" t="n">
        <v>352</v>
      </c>
      <c r="E41" s="18" t="n">
        <v>83.65484837</v>
      </c>
      <c r="F41" s="20" t="n">
        <v>1.82512613</v>
      </c>
      <c r="G41" s="18" t="n">
        <v>3.31396001</v>
      </c>
      <c r="H41" s="20" t="n">
        <v>0.8186212</v>
      </c>
      <c r="I41" s="18" t="s">
        <v>349</v>
      </c>
      <c r="J41" s="20" t="s">
        <v>349</v>
      </c>
      <c r="K41" s="18" t="n">
        <v>0</v>
      </c>
      <c r="L41" s="20" t="n">
        <v>0</v>
      </c>
      <c r="M41" s="18" t="n">
        <v>0</v>
      </c>
      <c r="N41" s="20" t="n">
        <v>0</v>
      </c>
      <c r="O41" s="18" t="n">
        <v>0</v>
      </c>
      <c r="P41" s="20" t="n">
        <v>0</v>
      </c>
      <c r="Q41" s="18" t="n">
        <v>13.03119162</v>
      </c>
      <c r="R41" s="20" t="n">
        <v>1.76175076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(10735.0/B46*100)</f>
        <v/>
      </c>
      <c r="D46" s="19" t="n">
        <v>1338</v>
      </c>
      <c r="E46" s="18" t="n">
        <v>52.84658336</v>
      </c>
      <c r="F46" s="20" t="n">
        <v>1.70196118</v>
      </c>
      <c r="G46" s="18" t="n">
        <v>0.3002563</v>
      </c>
      <c r="H46" s="20" t="n">
        <v>0.15548687</v>
      </c>
      <c r="I46" s="18" t="s">
        <v>349</v>
      </c>
      <c r="J46" s="20" t="s">
        <v>349</v>
      </c>
      <c r="K46" s="18" t="n">
        <v>1.15659529</v>
      </c>
      <c r="L46" s="20" t="n">
        <v>0.37807943</v>
      </c>
      <c r="M46" s="18" t="n">
        <v>0.24810803</v>
      </c>
      <c r="N46" s="20" t="n">
        <v>0.22377233</v>
      </c>
      <c r="O46" s="18" t="n">
        <v>0</v>
      </c>
      <c r="P46" s="20" t="n">
        <v>0</v>
      </c>
      <c r="Q46" s="18" t="n">
        <v>45.44845703</v>
      </c>
      <c r="R46" s="20" t="n">
        <v>1.67213429</v>
      </c>
    </row>
    <row r="47" spans="1:18">
      <c r="A47" s="15" t="s">
        <v>389</v>
      </c>
      <c r="B47" s="17" t="n">
        <v>2823</v>
      </c>
      <c r="C47" s="18">
        <f>(2476.0/B47*100)</f>
        <v/>
      </c>
      <c r="D47" s="19" t="n">
        <v>347</v>
      </c>
      <c r="E47" s="18" t="n">
        <v>47.32647479</v>
      </c>
      <c r="F47" s="20" t="n">
        <v>2.94418846</v>
      </c>
      <c r="G47" s="18" t="n">
        <v>3.35663166</v>
      </c>
      <c r="H47" s="20" t="n">
        <v>1.05642952</v>
      </c>
      <c r="I47" s="18" t="s">
        <v>349</v>
      </c>
      <c r="J47" s="20" t="s">
        <v>349</v>
      </c>
      <c r="K47" s="18" t="n">
        <v>0</v>
      </c>
      <c r="L47" s="20" t="n">
        <v>0</v>
      </c>
      <c r="M47" s="18" t="n">
        <v>0</v>
      </c>
      <c r="N47" s="20" t="n">
        <v>0</v>
      </c>
      <c r="O47" s="18" t="n">
        <v>0</v>
      </c>
      <c r="P47" s="20" t="n">
        <v>0</v>
      </c>
      <c r="Q47" s="18" t="n">
        <v>49.31689355</v>
      </c>
      <c r="R47" s="20" t="n">
        <v>3.15431651</v>
      </c>
    </row>
    <row r="48" spans="1:18">
      <c r="A48" s="15" t="s">
        <v>390</v>
      </c>
      <c r="B48" s="17" t="n">
        <v>4682</v>
      </c>
      <c r="C48" s="18">
        <f>(4114.0/B48*100)</f>
        <v/>
      </c>
      <c r="D48" s="19" t="n">
        <v>568</v>
      </c>
      <c r="E48" s="18" t="n">
        <v>58.31255246</v>
      </c>
      <c r="F48" s="20" t="n">
        <v>2.53054077</v>
      </c>
      <c r="G48" s="18" t="n">
        <v>22.90966069</v>
      </c>
      <c r="H48" s="20" t="n">
        <v>2.67221</v>
      </c>
      <c r="I48" s="18" t="s">
        <v>349</v>
      </c>
      <c r="J48" s="20" t="s">
        <v>349</v>
      </c>
      <c r="K48" s="18" t="n">
        <v>0.34763427</v>
      </c>
      <c r="L48" s="20" t="n">
        <v>0.33807802</v>
      </c>
      <c r="M48" s="18" t="n">
        <v>0</v>
      </c>
      <c r="N48" s="20" t="n">
        <v>0</v>
      </c>
      <c r="O48" s="18" t="n">
        <v>0</v>
      </c>
      <c r="P48" s="20" t="n">
        <v>0</v>
      </c>
      <c r="Q48" s="18" t="n">
        <v>18.43015258</v>
      </c>
      <c r="R48" s="20" t="n">
        <v>2.11539909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(5443.0/B50*100)</f>
        <v/>
      </c>
      <c r="D50" s="19" t="n">
        <v>715</v>
      </c>
      <c r="E50" s="18" t="n">
        <v>72.74270937</v>
      </c>
      <c r="F50" s="20" t="n">
        <v>2.21148486</v>
      </c>
      <c r="G50" s="18" t="n">
        <v>0.23707489</v>
      </c>
      <c r="H50" s="20" t="n">
        <v>0.117725</v>
      </c>
      <c r="I50" s="18" t="s">
        <v>349</v>
      </c>
      <c r="J50" s="20" t="s">
        <v>349</v>
      </c>
      <c r="K50" s="18" t="n">
        <v>1.23324061</v>
      </c>
      <c r="L50" s="20" t="n">
        <v>0.63557631</v>
      </c>
      <c r="M50" s="18" t="n">
        <v>1.16624827</v>
      </c>
      <c r="N50" s="20" t="n">
        <v>0.52954466</v>
      </c>
      <c r="O50" s="18" t="n">
        <v>0</v>
      </c>
      <c r="P50" s="20" t="n">
        <v>0</v>
      </c>
      <c r="Q50" s="18" t="n">
        <v>24.62072686</v>
      </c>
      <c r="R50" s="20" t="n">
        <v>2.16242797</v>
      </c>
    </row>
    <row r="51" spans="1:18">
      <c r="A51" s="15" t="s">
        <v>393</v>
      </c>
      <c r="B51" s="17" t="n">
        <v>3494</v>
      </c>
      <c r="C51" s="18">
        <f>(3135.0/B51*100)</f>
        <v/>
      </c>
      <c r="D51" s="19" t="n">
        <v>359</v>
      </c>
      <c r="E51" s="18" t="n">
        <v>57.3503637</v>
      </c>
      <c r="F51" s="20" t="n">
        <v>2.64790919</v>
      </c>
      <c r="G51" s="18" t="n">
        <v>0.27068448</v>
      </c>
      <c r="H51" s="20" t="n">
        <v>0.25221484</v>
      </c>
      <c r="I51" s="18" t="s">
        <v>349</v>
      </c>
      <c r="J51" s="20" t="s">
        <v>349</v>
      </c>
      <c r="K51" s="18" t="n">
        <v>0.6040822</v>
      </c>
      <c r="L51" s="20" t="n">
        <v>0.38179196</v>
      </c>
      <c r="M51" s="18" t="n">
        <v>0</v>
      </c>
      <c r="N51" s="20" t="n">
        <v>0</v>
      </c>
      <c r="O51" s="18" t="n">
        <v>0</v>
      </c>
      <c r="P51" s="20" t="n">
        <v>0</v>
      </c>
      <c r="Q51" s="18" t="n">
        <v>41.77486962</v>
      </c>
      <c r="R51" s="20" t="n">
        <v>2.68229559</v>
      </c>
    </row>
    <row r="52" spans="1:18">
      <c r="A52" s="15" t="s">
        <v>394</v>
      </c>
      <c r="B52" s="17" t="n">
        <v>3013</v>
      </c>
      <c r="C52" s="18">
        <f>(2646.0/B52*100)</f>
        <v/>
      </c>
      <c r="D52" s="19" t="n">
        <v>367</v>
      </c>
      <c r="E52" s="18" t="n">
        <v>51.85697565</v>
      </c>
      <c r="F52" s="20" t="n">
        <v>2.35600412</v>
      </c>
      <c r="G52" s="18" t="n">
        <v>3.62049007</v>
      </c>
      <c r="H52" s="20" t="n">
        <v>1.11233357</v>
      </c>
      <c r="I52" s="18" t="s">
        <v>349</v>
      </c>
      <c r="J52" s="20" t="s">
        <v>349</v>
      </c>
      <c r="K52" s="18" t="n">
        <v>0</v>
      </c>
      <c r="L52" s="20" t="n">
        <v>0</v>
      </c>
      <c r="M52" s="18" t="n">
        <v>0</v>
      </c>
      <c r="N52" s="20" t="n">
        <v>0</v>
      </c>
      <c r="O52" s="18" t="n">
        <v>0</v>
      </c>
      <c r="P52" s="20" t="n">
        <v>0</v>
      </c>
      <c r="Q52" s="18" t="n">
        <v>44.52253428</v>
      </c>
      <c r="R52" s="20" t="n">
        <v>2.387051</v>
      </c>
    </row>
    <row r="53" spans="1:18">
      <c r="A53" s="15" t="s">
        <v>395</v>
      </c>
      <c r="B53" s="17" t="n">
        <v>2760</v>
      </c>
      <c r="C53" s="18">
        <f>(2441.0/B53*100)</f>
        <v/>
      </c>
      <c r="D53" s="19" t="n">
        <v>319</v>
      </c>
      <c r="E53" s="18" t="n">
        <v>56.99605586</v>
      </c>
      <c r="F53" s="20" t="n">
        <v>2.8239361</v>
      </c>
      <c r="G53" s="18" t="n">
        <v>3.07195829</v>
      </c>
      <c r="H53" s="20" t="n">
        <v>1.10906668</v>
      </c>
      <c r="I53" s="18" t="s">
        <v>349</v>
      </c>
      <c r="J53" s="20" t="s">
        <v>349</v>
      </c>
      <c r="K53" s="18" t="n">
        <v>1.32189541</v>
      </c>
      <c r="L53" s="20" t="n">
        <v>0.58772833</v>
      </c>
      <c r="M53" s="18" t="n">
        <v>0</v>
      </c>
      <c r="N53" s="20" t="n">
        <v>0</v>
      </c>
      <c r="O53" s="18" t="n">
        <v>0</v>
      </c>
      <c r="P53" s="20" t="n">
        <v>0</v>
      </c>
      <c r="Q53" s="18" t="n">
        <v>38.61009044</v>
      </c>
      <c r="R53" s="20" t="n">
        <v>2.69280766</v>
      </c>
    </row>
    <row r="54" spans="1:18">
      <c r="A54" s="15" t="s">
        <v>396</v>
      </c>
      <c r="B54" s="17" t="n">
        <v>2474</v>
      </c>
      <c r="C54" s="18">
        <f>(2056.0/B54*100)</f>
        <v/>
      </c>
      <c r="D54" s="19" t="n">
        <v>418</v>
      </c>
      <c r="E54" s="18" t="n">
        <v>40.66489895</v>
      </c>
      <c r="F54" s="20" t="n">
        <v>2.93476428</v>
      </c>
      <c r="G54" s="18" t="n">
        <v>0.23183903</v>
      </c>
      <c r="H54" s="20" t="n">
        <v>0.22993794</v>
      </c>
      <c r="I54" s="18" t="s">
        <v>349</v>
      </c>
      <c r="J54" s="20" t="s">
        <v>349</v>
      </c>
      <c r="K54" s="18" t="n">
        <v>3.18883463</v>
      </c>
      <c r="L54" s="20" t="n">
        <v>0.84957319</v>
      </c>
      <c r="M54" s="18" t="n">
        <v>1.03259811</v>
      </c>
      <c r="N54" s="20" t="n">
        <v>1.13291078</v>
      </c>
      <c r="O54" s="18" t="n">
        <v>0</v>
      </c>
      <c r="P54" s="20" t="n">
        <v>0</v>
      </c>
      <c r="Q54" s="18" t="n">
        <v>54.88182928</v>
      </c>
      <c r="R54" s="20" t="n">
        <v>3.00752876</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(2356.0/B56*100)</f>
        <v/>
      </c>
      <c r="D56" s="19" t="n">
        <v>319</v>
      </c>
      <c r="E56" s="18" t="n">
        <v>63.72660305</v>
      </c>
      <c r="F56" s="20" t="n">
        <v>3.15285486</v>
      </c>
      <c r="G56" s="18" t="n">
        <v>17.29284078</v>
      </c>
      <c r="H56" s="20" t="n">
        <v>2.14070529</v>
      </c>
      <c r="I56" s="18" t="s">
        <v>349</v>
      </c>
      <c r="J56" s="20" t="s">
        <v>349</v>
      </c>
      <c r="K56" s="18" t="n">
        <v>0</v>
      </c>
      <c r="L56" s="20" t="n">
        <v>0</v>
      </c>
      <c r="M56" s="18" t="n">
        <v>0.67527629</v>
      </c>
      <c r="N56" s="20" t="n">
        <v>0.67326957</v>
      </c>
      <c r="O56" s="18" t="n">
        <v>0</v>
      </c>
      <c r="P56" s="20" t="n">
        <v>0</v>
      </c>
      <c r="Q56" s="18" t="n">
        <v>18.30527988</v>
      </c>
      <c r="R56" s="20" t="n">
        <v>2.48652606</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(2804.0/B61*100)</f>
        <v/>
      </c>
      <c r="D61" s="19" t="n">
        <v>397</v>
      </c>
      <c r="E61" s="18" t="n">
        <v>53.49666317</v>
      </c>
      <c r="F61" s="20" t="n">
        <v>3.1169794</v>
      </c>
      <c r="G61" s="18" t="n">
        <v>2.58662026</v>
      </c>
      <c r="H61" s="20" t="n">
        <v>0.76400659</v>
      </c>
      <c r="I61" s="18" t="s">
        <v>349</v>
      </c>
      <c r="J61" s="20" t="s">
        <v>349</v>
      </c>
      <c r="K61" s="18" t="n">
        <v>0.30350419</v>
      </c>
      <c r="L61" s="20" t="n">
        <v>0.30184732</v>
      </c>
      <c r="M61" s="18" t="n">
        <v>0</v>
      </c>
      <c r="N61" s="20" t="n">
        <v>0</v>
      </c>
      <c r="O61" s="18" t="n">
        <v>0</v>
      </c>
      <c r="P61" s="20" t="n">
        <v>0</v>
      </c>
      <c r="Q61" s="18" t="n">
        <v>43.61321238</v>
      </c>
      <c r="R61" s="20" t="n">
        <v>3.20556344</v>
      </c>
    </row>
    <row r="62" spans="1:18">
      <c r="A62" s="15" t="s">
        <v>404</v>
      </c>
      <c r="B62" s="17" t="n">
        <v>2230</v>
      </c>
      <c r="C62" s="18">
        <f>(1970.0/B62*100)</f>
        <v/>
      </c>
      <c r="D62" s="19" t="n">
        <v>260</v>
      </c>
      <c r="E62" s="18" t="n">
        <v>68.00271614</v>
      </c>
      <c r="F62" s="20" t="n">
        <v>2.67072534</v>
      </c>
      <c r="G62" s="18" t="n">
        <v>17.63666158</v>
      </c>
      <c r="H62" s="20" t="n">
        <v>2.044925</v>
      </c>
      <c r="I62" s="18" t="s">
        <v>349</v>
      </c>
      <c r="J62" s="20" t="s">
        <v>349</v>
      </c>
      <c r="K62" s="18" t="n">
        <v>0</v>
      </c>
      <c r="L62" s="20" t="n">
        <v>0</v>
      </c>
      <c r="M62" s="18" t="n">
        <v>0</v>
      </c>
      <c r="N62" s="20" t="n">
        <v>0</v>
      </c>
      <c r="O62" s="18" t="n">
        <v>0</v>
      </c>
      <c r="P62" s="20" t="n">
        <v>0</v>
      </c>
      <c r="Q62" s="18" t="n">
        <v>14.36062228</v>
      </c>
      <c r="R62" s="20" t="n">
        <v>2.1284482</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(2430.0/B66*100)</f>
        <v/>
      </c>
      <c r="D66" s="19" t="n">
        <v>341</v>
      </c>
      <c r="E66" s="18" t="n">
        <v>34.98180239</v>
      </c>
      <c r="F66" s="20" t="n">
        <v>2.60245155</v>
      </c>
      <c r="G66" s="18" t="n">
        <v>1.42276953</v>
      </c>
      <c r="H66" s="20" t="n">
        <v>0.72347829</v>
      </c>
      <c r="I66" s="18" t="s">
        <v>349</v>
      </c>
      <c r="J66" s="20" t="s">
        <v>349</v>
      </c>
      <c r="K66" s="18" t="n">
        <v>0.50772431</v>
      </c>
      <c r="L66" s="20" t="n">
        <v>0.35631333</v>
      </c>
      <c r="M66" s="18" t="n">
        <v>0.32050212</v>
      </c>
      <c r="N66" s="20" t="n">
        <v>0.32007673</v>
      </c>
      <c r="O66" s="18" t="n">
        <v>0</v>
      </c>
      <c r="P66" s="20" t="n">
        <v>0</v>
      </c>
      <c r="Q66" s="18" t="n">
        <v>62.76720165</v>
      </c>
      <c r="R66" s="20" t="n">
        <v>2.47164129</v>
      </c>
    </row>
    <row r="67" spans="1:18">
      <c r="A67" s="15" t="s">
        <v>409</v>
      </c>
      <c r="B67" s="17" t="n">
        <v>3460</v>
      </c>
      <c r="C67" s="18">
        <f>(3046.0/B67*100)</f>
        <v/>
      </c>
      <c r="D67" s="19" t="n">
        <v>414</v>
      </c>
      <c r="E67" s="18" t="n">
        <v>53.09997909</v>
      </c>
      <c r="F67" s="20" t="n">
        <v>2.24763316</v>
      </c>
      <c r="G67" s="18" t="n">
        <v>1.75313369</v>
      </c>
      <c r="H67" s="20" t="n">
        <v>0.66057017</v>
      </c>
      <c r="I67" s="18" t="s">
        <v>349</v>
      </c>
      <c r="J67" s="20" t="s">
        <v>349</v>
      </c>
      <c r="K67" s="18" t="n">
        <v>0</v>
      </c>
      <c r="L67" s="20" t="n">
        <v>0</v>
      </c>
      <c r="M67" s="18" t="n">
        <v>0.18498359</v>
      </c>
      <c r="N67" s="20" t="n">
        <v>0.18440309</v>
      </c>
      <c r="O67" s="18" t="n">
        <v>0</v>
      </c>
      <c r="P67" s="20" t="n">
        <v>0</v>
      </c>
      <c r="Q67" s="18" t="n">
        <v>44.96190364</v>
      </c>
      <c r="R67" s="20" t="n">
        <v>2.22960338</v>
      </c>
    </row>
    <row r="68" spans="1:18">
      <c r="A68" s="15" t="s">
        <v>410</v>
      </c>
      <c r="B68" s="17" t="n">
        <v>6034</v>
      </c>
      <c r="C68" s="18">
        <f>(5046.0/B68*100)</f>
        <v/>
      </c>
      <c r="D68" s="19" t="n">
        <v>988</v>
      </c>
      <c r="E68" s="18" t="n">
        <v>67.96872418</v>
      </c>
      <c r="F68" s="20" t="n">
        <v>1.31335172</v>
      </c>
      <c r="G68" s="18" t="n">
        <v>1.84617084</v>
      </c>
      <c r="H68" s="20" t="n">
        <v>0.39497525</v>
      </c>
      <c r="I68" s="18" t="s">
        <v>349</v>
      </c>
      <c r="J68" s="20" t="s">
        <v>349</v>
      </c>
      <c r="K68" s="18" t="n">
        <v>1.4006542</v>
      </c>
      <c r="L68" s="20" t="n">
        <v>0.40549376</v>
      </c>
      <c r="M68" s="18" t="n">
        <v>0</v>
      </c>
      <c r="N68" s="20" t="n">
        <v>0</v>
      </c>
      <c r="O68" s="18" t="n">
        <v>0</v>
      </c>
      <c r="P68" s="20" t="n">
        <v>0</v>
      </c>
      <c r="Q68" s="18" t="n">
        <v>28.78445078</v>
      </c>
      <c r="R68" s="20" t="n">
        <v>1.36873909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(2738.0/B70*100)</f>
        <v/>
      </c>
      <c r="D70" s="19" t="n">
        <v>369</v>
      </c>
      <c r="E70" s="18" t="n">
        <v>50.55262608</v>
      </c>
      <c r="F70" s="20" t="n">
        <v>2.70718063</v>
      </c>
      <c r="G70" s="18" t="n">
        <v>10.24485323</v>
      </c>
      <c r="H70" s="20" t="n">
        <v>2.3014061</v>
      </c>
      <c r="I70" s="18" t="s">
        <v>349</v>
      </c>
      <c r="J70" s="20" t="s">
        <v>349</v>
      </c>
      <c r="K70" s="18" t="n">
        <v>0.3292258</v>
      </c>
      <c r="L70" s="20" t="n">
        <v>0.23252397</v>
      </c>
      <c r="M70" s="18" t="n">
        <v>0.80007062</v>
      </c>
      <c r="N70" s="20" t="n">
        <v>0.38892314</v>
      </c>
      <c r="O70" s="18" t="n">
        <v>0</v>
      </c>
      <c r="P70" s="20" t="n">
        <v>0</v>
      </c>
      <c r="Q70" s="18" t="n">
        <v>38.07322427</v>
      </c>
      <c r="R70" s="20" t="n">
        <v>2.88829319</v>
      </c>
    </row>
    <row r="71" spans="1:18">
      <c r="A71" s="15" t="s">
        <v>413</v>
      </c>
      <c r="B71" s="17" t="n">
        <v>2973</v>
      </c>
      <c r="C71" s="18">
        <f>(2593.0/B71*100)</f>
        <v/>
      </c>
      <c r="D71" s="19" t="n">
        <v>380</v>
      </c>
      <c r="E71" s="18" t="n">
        <v>65.22848394</v>
      </c>
      <c r="F71" s="20" t="n">
        <v>2.52869179</v>
      </c>
      <c r="G71" s="18" t="n">
        <v>19.57834117</v>
      </c>
      <c r="H71" s="20" t="n">
        <v>2.00394854</v>
      </c>
      <c r="I71" s="18" t="s">
        <v>349</v>
      </c>
      <c r="J71" s="20" t="s">
        <v>349</v>
      </c>
      <c r="K71" s="18" t="n">
        <v>0.17838742</v>
      </c>
      <c r="L71" s="20" t="n">
        <v>0.17902745</v>
      </c>
      <c r="M71" s="18" t="n">
        <v>0</v>
      </c>
      <c r="N71" s="20" t="n">
        <v>0</v>
      </c>
      <c r="O71" s="18" t="n">
        <v>0</v>
      </c>
      <c r="P71" s="20" t="n">
        <v>0</v>
      </c>
      <c r="Q71" s="18" t="n">
        <v>15.01478748</v>
      </c>
      <c r="R71" s="20" t="n">
        <v>1.60058763</v>
      </c>
    </row>
    <row r="72" spans="1:18">
      <c r="A72" s="15" t="s">
        <v>414</v>
      </c>
      <c r="B72" s="17" t="n">
        <v>3819</v>
      </c>
      <c r="C72" s="18">
        <f>(3341.0/B72*100)</f>
        <v/>
      </c>
      <c r="D72" s="19" t="n">
        <v>478</v>
      </c>
      <c r="E72" s="18" t="n">
        <v>39.72948228</v>
      </c>
      <c r="F72" s="20" t="n">
        <v>2.56450177</v>
      </c>
      <c r="G72" s="18" t="n">
        <v>35.34458626</v>
      </c>
      <c r="H72" s="20" t="n">
        <v>2.48740441</v>
      </c>
      <c r="I72" s="18" t="s">
        <v>349</v>
      </c>
      <c r="J72" s="20" t="s">
        <v>349</v>
      </c>
      <c r="K72" s="18" t="n">
        <v>0.22597573</v>
      </c>
      <c r="L72" s="20" t="n">
        <v>0.22656799</v>
      </c>
      <c r="M72" s="18" t="n">
        <v>0</v>
      </c>
      <c r="N72" s="20" t="n">
        <v>0</v>
      </c>
      <c r="O72" s="18" t="n">
        <v>0</v>
      </c>
      <c r="P72" s="20" t="n">
        <v>0</v>
      </c>
      <c r="Q72" s="18" t="n">
        <v>24.69995573</v>
      </c>
      <c r="R72" s="20" t="n">
        <v>1.94010307</v>
      </c>
    </row>
    <row r="73" spans="1:18">
      <c r="A73" s="15" t="s">
        <v>415</v>
      </c>
      <c r="B73" s="17" t="n">
        <v>4652</v>
      </c>
      <c r="C73" s="18">
        <f>(4095.0/B73*100)</f>
        <v/>
      </c>
      <c r="D73" s="19" t="n">
        <v>557</v>
      </c>
      <c r="E73" s="18" t="n">
        <v>81.48120855000001</v>
      </c>
      <c r="F73" s="20" t="n">
        <v>1.93369554</v>
      </c>
      <c r="G73" s="18" t="n">
        <v>1.76694745</v>
      </c>
      <c r="H73" s="20" t="n">
        <v>0.65653509</v>
      </c>
      <c r="I73" s="18" t="s">
        <v>349</v>
      </c>
      <c r="J73" s="20" t="s">
        <v>349</v>
      </c>
      <c r="K73" s="18" t="n">
        <v>0</v>
      </c>
      <c r="L73" s="20" t="n">
        <v>0</v>
      </c>
      <c r="M73" s="18" t="n">
        <v>0.29348196</v>
      </c>
      <c r="N73" s="20" t="n">
        <v>0.29553358</v>
      </c>
      <c r="O73" s="18" t="n">
        <v>0</v>
      </c>
      <c r="P73" s="20" t="n">
        <v>0</v>
      </c>
      <c r="Q73" s="18" t="n">
        <v>16.45836204</v>
      </c>
      <c r="R73" s="20" t="n">
        <v>1.85914215</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(2626.0/B75*100)</f>
        <v/>
      </c>
      <c r="D75" s="19" t="n">
        <v>343</v>
      </c>
      <c r="E75" s="18" t="n">
        <v>44.330117</v>
      </c>
      <c r="F75" s="20" t="n">
        <v>2.63748238</v>
      </c>
      <c r="G75" s="18" t="n">
        <v>0</v>
      </c>
      <c r="H75" s="20" t="n">
        <v>0</v>
      </c>
      <c r="I75" s="18" t="s">
        <v>349</v>
      </c>
      <c r="J75" s="20" t="s">
        <v>349</v>
      </c>
      <c r="K75" s="18" t="n">
        <v>3.804661</v>
      </c>
      <c r="L75" s="20" t="n">
        <v>1.08923494</v>
      </c>
      <c r="M75" s="18" t="n">
        <v>0.61595314</v>
      </c>
      <c r="N75" s="20" t="n">
        <v>0.45401181</v>
      </c>
      <c r="O75" s="18" t="n">
        <v>0</v>
      </c>
      <c r="P75" s="20" t="n">
        <v>0</v>
      </c>
      <c r="Q75" s="18" t="n">
        <v>51.24926886</v>
      </c>
      <c r="R75" s="20" t="n">
        <v>2.69394058</v>
      </c>
    </row>
    <row r="76" spans="1:18">
      <c r="A76" s="15" t="s">
        <v>418</v>
      </c>
      <c r="B76" s="17" t="n">
        <v>7115</v>
      </c>
      <c r="C76" s="18">
        <f>(6239.0/B76*100)</f>
        <v/>
      </c>
      <c r="D76" s="19" t="n">
        <v>876</v>
      </c>
      <c r="E76" s="18" t="n">
        <v>74.23449724</v>
      </c>
      <c r="F76" s="20" t="n">
        <v>1.91037591</v>
      </c>
      <c r="G76" s="18" t="n">
        <v>1.9429761</v>
      </c>
      <c r="H76" s="20" t="n">
        <v>0.49031819</v>
      </c>
      <c r="I76" s="18" t="s">
        <v>349</v>
      </c>
      <c r="J76" s="20" t="s">
        <v>349</v>
      </c>
      <c r="K76" s="18" t="n">
        <v>1.03032244</v>
      </c>
      <c r="L76" s="20" t="n">
        <v>0.3943579</v>
      </c>
      <c r="M76" s="18" t="n">
        <v>0.08224621</v>
      </c>
      <c r="N76" s="20" t="n">
        <v>0.08288872999999999</v>
      </c>
      <c r="O76" s="18" t="n">
        <v>0</v>
      </c>
      <c r="P76" s="20" t="n">
        <v>0</v>
      </c>
      <c r="Q76" s="18" t="n">
        <v>22.70995801</v>
      </c>
      <c r="R76" s="20" t="n">
        <v>1.83715255</v>
      </c>
    </row>
    <row r="77" spans="1:18">
      <c r="A77" s="15" t="s">
        <v>419</v>
      </c>
      <c r="B77" s="17" t="n">
        <v>3154</v>
      </c>
      <c r="C77" s="18">
        <f>(2778.0/B77*100)</f>
        <v/>
      </c>
      <c r="D77" s="19" t="n">
        <v>376</v>
      </c>
      <c r="E77" s="18" t="n">
        <v>42.62472543</v>
      </c>
      <c r="F77" s="20" t="n">
        <v>2.61520924</v>
      </c>
      <c r="G77" s="18" t="n">
        <v>0.43460367</v>
      </c>
      <c r="H77" s="20" t="n">
        <v>0.31937782</v>
      </c>
      <c r="I77" s="18" t="s">
        <v>349</v>
      </c>
      <c r="J77" s="20" t="s">
        <v>349</v>
      </c>
      <c r="K77" s="18" t="n">
        <v>0.48237091</v>
      </c>
      <c r="L77" s="20" t="n">
        <v>0.34473757</v>
      </c>
      <c r="M77" s="18" t="n">
        <v>1.04966017</v>
      </c>
      <c r="N77" s="20" t="n">
        <v>0.49644761</v>
      </c>
      <c r="O77" s="18" t="n">
        <v>0</v>
      </c>
      <c r="P77" s="20" t="n">
        <v>0</v>
      </c>
      <c r="Q77" s="18" t="n">
        <v>55.40863982</v>
      </c>
      <c r="R77" s="20" t="n">
        <v>2.59568439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(4119.0/B81*100)</f>
        <v/>
      </c>
      <c r="D81" s="19" t="n">
        <v>579</v>
      </c>
      <c r="E81" s="18" t="n">
        <v>88.32036583999999</v>
      </c>
      <c r="F81" s="20" t="n">
        <v>1.82504493</v>
      </c>
      <c r="G81" s="18" t="n">
        <v>0.1121015</v>
      </c>
      <c r="H81" s="20" t="n">
        <v>0.06088473</v>
      </c>
      <c r="I81" s="18" t="s">
        <v>349</v>
      </c>
      <c r="J81" s="20" t="s">
        <v>349</v>
      </c>
      <c r="K81" s="18" t="n">
        <v>0.23222901</v>
      </c>
      <c r="L81" s="20" t="n">
        <v>0.23162311</v>
      </c>
      <c r="M81" s="18" t="n">
        <v>0</v>
      </c>
      <c r="N81" s="20" t="n">
        <v>0</v>
      </c>
      <c r="O81" s="18" t="n">
        <v>0</v>
      </c>
      <c r="P81" s="20" t="n">
        <v>0</v>
      </c>
      <c r="Q81" s="18" t="n">
        <v>11.33530365</v>
      </c>
      <c r="R81" s="20" t="n">
        <v>1.80901902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(6297.0/B7*100)</f>
        <v/>
      </c>
      <c r="D7" s="19" t="n">
        <v>866</v>
      </c>
      <c r="E7" s="18" t="n">
        <v>54.24380319</v>
      </c>
      <c r="F7" s="20" t="n">
        <v>1.94596577</v>
      </c>
      <c r="G7" s="18" t="n">
        <v>44.16026499</v>
      </c>
      <c r="H7" s="20" t="n">
        <v>1.91891418</v>
      </c>
      <c r="I7" s="18" t="s">
        <v>349</v>
      </c>
      <c r="J7" s="20" t="s">
        <v>349</v>
      </c>
      <c r="K7" s="18" t="n">
        <v>0.58046331</v>
      </c>
      <c r="L7" s="20" t="n">
        <v>0.30455126</v>
      </c>
      <c r="M7" s="18" t="n">
        <v>0</v>
      </c>
      <c r="N7" s="20" t="n">
        <v>0</v>
      </c>
      <c r="O7" s="18" t="n">
        <v>0</v>
      </c>
      <c r="P7" s="20" t="n">
        <v>0</v>
      </c>
      <c r="Q7" s="18" t="n">
        <v>1.01546851</v>
      </c>
      <c r="R7" s="20" t="n">
        <v>0.32953613</v>
      </c>
    </row>
    <row r="8" spans="1:18">
      <c r="A8" s="15" t="s">
        <v>350</v>
      </c>
      <c r="B8" s="17" t="n">
        <v>3443</v>
      </c>
      <c r="C8" s="18">
        <f>(3012.0/B8*100)</f>
        <v/>
      </c>
      <c r="D8" s="19" t="n">
        <v>431</v>
      </c>
      <c r="E8" s="18" t="n">
        <v>75.52960003</v>
      </c>
      <c r="F8" s="20" t="n">
        <v>2.15132923</v>
      </c>
      <c r="G8" s="18" t="n">
        <v>22.67355252</v>
      </c>
      <c r="H8" s="20" t="n">
        <v>2.33438267</v>
      </c>
      <c r="I8" s="18" t="s">
        <v>349</v>
      </c>
      <c r="J8" s="20" t="s">
        <v>349</v>
      </c>
      <c r="K8" s="18" t="n">
        <v>0</v>
      </c>
      <c r="L8" s="20" t="n">
        <v>0</v>
      </c>
      <c r="M8" s="18" t="n">
        <v>0</v>
      </c>
      <c r="N8" s="20" t="n">
        <v>0</v>
      </c>
      <c r="O8" s="18" t="n">
        <v>0</v>
      </c>
      <c r="P8" s="20" t="n">
        <v>0</v>
      </c>
      <c r="Q8" s="18" t="n">
        <v>1.79684745</v>
      </c>
      <c r="R8" s="20" t="n">
        <v>0.64997077</v>
      </c>
    </row>
    <row r="9" spans="1:18">
      <c r="A9" s="15" t="s">
        <v>351</v>
      </c>
      <c r="B9" s="17" t="n">
        <v>4752</v>
      </c>
      <c r="C9" s="18">
        <f>(4115.0/B9*100)</f>
        <v/>
      </c>
      <c r="D9" s="19" t="n">
        <v>637</v>
      </c>
      <c r="E9" s="18" t="n">
        <v>60.5422501</v>
      </c>
      <c r="F9" s="20" t="n">
        <v>1.99985793</v>
      </c>
      <c r="G9" s="18" t="n">
        <v>36.20629338</v>
      </c>
      <c r="H9" s="20" t="n">
        <v>2.00686191</v>
      </c>
      <c r="I9" s="18" t="s">
        <v>349</v>
      </c>
      <c r="J9" s="20" t="s">
        <v>349</v>
      </c>
      <c r="K9" s="18" t="n">
        <v>1.90621497</v>
      </c>
      <c r="L9" s="20" t="n">
        <v>0.5908107</v>
      </c>
      <c r="M9" s="18" t="n">
        <v>0</v>
      </c>
      <c r="N9" s="20" t="n">
        <v>0</v>
      </c>
      <c r="O9" s="18" t="n">
        <v>0</v>
      </c>
      <c r="P9" s="20" t="n">
        <v>0</v>
      </c>
      <c r="Q9" s="18" t="n">
        <v>1.34524155</v>
      </c>
      <c r="R9" s="20" t="n">
        <v>0.45937236</v>
      </c>
    </row>
    <row r="10" spans="1:18">
      <c r="A10" s="15" t="s">
        <v>352</v>
      </c>
      <c r="B10" s="17" t="n">
        <v>10022</v>
      </c>
      <c r="C10" s="18">
        <f>(8781.0/B10*100)</f>
        <v/>
      </c>
      <c r="D10" s="19" t="n">
        <v>1241</v>
      </c>
      <c r="E10" s="18" t="n">
        <v>58.23228651</v>
      </c>
      <c r="F10" s="20" t="n">
        <v>1.96345808</v>
      </c>
      <c r="G10" s="18" t="n">
        <v>40.40549894</v>
      </c>
      <c r="H10" s="20" t="n">
        <v>1.9088512</v>
      </c>
      <c r="I10" s="18" t="s">
        <v>349</v>
      </c>
      <c r="J10" s="20" t="s">
        <v>349</v>
      </c>
      <c r="K10" s="18" t="n">
        <v>0.26364091</v>
      </c>
      <c r="L10" s="20" t="n">
        <v>0.16309047</v>
      </c>
      <c r="M10" s="18" t="n">
        <v>0</v>
      </c>
      <c r="N10" s="20" t="n">
        <v>0</v>
      </c>
      <c r="O10" s="18" t="n">
        <v>0</v>
      </c>
      <c r="P10" s="20" t="n">
        <v>0</v>
      </c>
      <c r="Q10" s="18" t="n">
        <v>1.09857363</v>
      </c>
      <c r="R10" s="20" t="n">
        <v>0.38814764</v>
      </c>
    </row>
    <row r="11" spans="1:18">
      <c r="A11" s="15" t="s">
        <v>353</v>
      </c>
      <c r="B11" s="17" t="n">
        <v>3500</v>
      </c>
      <c r="C11" s="18">
        <f>(3078.0/B11*100)</f>
        <v/>
      </c>
      <c r="D11" s="19" t="n">
        <v>422</v>
      </c>
      <c r="E11" s="18" t="n">
        <v>69.77998322000001</v>
      </c>
      <c r="F11" s="20" t="n">
        <v>2.50553132</v>
      </c>
      <c r="G11" s="18" t="n">
        <v>28.80931433</v>
      </c>
      <c r="H11" s="20" t="n">
        <v>2.43370283</v>
      </c>
      <c r="I11" s="18" t="s">
        <v>349</v>
      </c>
      <c r="J11" s="20" t="s">
        <v>349</v>
      </c>
      <c r="K11" s="18" t="n">
        <v>0.28621117</v>
      </c>
      <c r="L11" s="20" t="n">
        <v>0.21036396</v>
      </c>
      <c r="M11" s="18" t="n">
        <v>0</v>
      </c>
      <c r="N11" s="20" t="n">
        <v>0</v>
      </c>
      <c r="O11" s="18" t="n">
        <v>0</v>
      </c>
      <c r="P11" s="20" t="n">
        <v>0</v>
      </c>
      <c r="Q11" s="18" t="n">
        <v>1.12449128</v>
      </c>
      <c r="R11" s="20" t="n">
        <v>0.5860326300000001</v>
      </c>
    </row>
    <row r="12" spans="1:18">
      <c r="A12" s="15" t="s">
        <v>354</v>
      </c>
      <c r="B12" s="17" t="n">
        <v>3422</v>
      </c>
      <c r="C12" s="18">
        <f>(2972.0/B12*100)</f>
        <v/>
      </c>
      <c r="D12" s="19" t="n">
        <v>450</v>
      </c>
      <c r="E12" s="18" t="n">
        <v>60.7634388</v>
      </c>
      <c r="F12" s="20" t="n">
        <v>2.84478903</v>
      </c>
      <c r="G12" s="18" t="n">
        <v>36.68359896</v>
      </c>
      <c r="H12" s="20" t="n">
        <v>2.66070719</v>
      </c>
      <c r="I12" s="18" t="s">
        <v>349</v>
      </c>
      <c r="J12" s="20" t="s">
        <v>349</v>
      </c>
      <c r="K12" s="18" t="n">
        <v>0.68593825</v>
      </c>
      <c r="L12" s="20" t="n">
        <v>0.51695057</v>
      </c>
      <c r="M12" s="18" t="n">
        <v>0</v>
      </c>
      <c r="N12" s="20" t="n">
        <v>0</v>
      </c>
      <c r="O12" s="18" t="n">
        <v>0</v>
      </c>
      <c r="P12" s="20" t="n">
        <v>0</v>
      </c>
      <c r="Q12" s="18" t="n">
        <v>1.86702399</v>
      </c>
      <c r="R12" s="20" t="n">
        <v>0.89123846</v>
      </c>
    </row>
    <row r="13" spans="1:18">
      <c r="A13" s="15" t="s">
        <v>355</v>
      </c>
      <c r="B13" s="17" t="n">
        <v>3602</v>
      </c>
      <c r="C13" s="18">
        <f>(3055.0/B13*100)</f>
        <v/>
      </c>
      <c r="D13" s="19" t="n">
        <v>547</v>
      </c>
      <c r="E13" s="18" t="n">
        <v>56.32736603</v>
      </c>
      <c r="F13" s="20" t="n">
        <v>2.84881659</v>
      </c>
      <c r="G13" s="18" t="n">
        <v>41.55196751</v>
      </c>
      <c r="H13" s="20" t="n">
        <v>2.95110204</v>
      </c>
      <c r="I13" s="18" t="s">
        <v>349</v>
      </c>
      <c r="J13" s="20" t="s">
        <v>349</v>
      </c>
      <c r="K13" s="18" t="n">
        <v>1.93789601</v>
      </c>
      <c r="L13" s="20" t="n">
        <v>0.85482665</v>
      </c>
      <c r="M13" s="18" t="n">
        <v>0</v>
      </c>
      <c r="N13" s="20" t="n">
        <v>0</v>
      </c>
      <c r="O13" s="18" t="n">
        <v>0</v>
      </c>
      <c r="P13" s="20" t="n">
        <v>0</v>
      </c>
      <c r="Q13" s="18" t="n">
        <v>0.18277045</v>
      </c>
      <c r="R13" s="20" t="n">
        <v>0.11890285</v>
      </c>
    </row>
    <row r="14" spans="1:18">
      <c r="A14" s="15" t="s">
        <v>356</v>
      </c>
      <c r="B14" s="17" t="n">
        <v>2788</v>
      </c>
      <c r="C14" s="18">
        <f>(2436.0/B14*100)</f>
        <v/>
      </c>
      <c r="D14" s="19" t="n">
        <v>352</v>
      </c>
      <c r="E14" s="18" t="n">
        <v>58.30672541</v>
      </c>
      <c r="F14" s="20" t="n">
        <v>2.98202784</v>
      </c>
      <c r="G14" s="18" t="n">
        <v>41.27007039</v>
      </c>
      <c r="H14" s="20" t="n">
        <v>3.00158772</v>
      </c>
      <c r="I14" s="18" t="s">
        <v>349</v>
      </c>
      <c r="J14" s="20" t="s">
        <v>349</v>
      </c>
      <c r="K14" s="18" t="n">
        <v>0</v>
      </c>
      <c r="L14" s="20" t="n">
        <v>0</v>
      </c>
      <c r="M14" s="18" t="n">
        <v>0</v>
      </c>
      <c r="N14" s="20" t="n">
        <v>0</v>
      </c>
      <c r="O14" s="18" t="n">
        <v>0</v>
      </c>
      <c r="P14" s="20" t="n">
        <v>0</v>
      </c>
      <c r="Q14" s="18" t="n">
        <v>0.4232042</v>
      </c>
      <c r="R14" s="20" t="n">
        <v>0.30359501</v>
      </c>
    </row>
    <row r="15" spans="1:18">
      <c r="A15" s="15" t="s">
        <v>357</v>
      </c>
      <c r="B15" s="17" t="n">
        <v>2863</v>
      </c>
      <c r="C15" s="18">
        <f>(2523.0/B15*100)</f>
        <v/>
      </c>
      <c r="D15" s="19" t="n">
        <v>340</v>
      </c>
      <c r="E15" s="18" t="n">
        <v>60.91046842</v>
      </c>
      <c r="F15" s="20" t="n">
        <v>2.54457621</v>
      </c>
      <c r="G15" s="18" t="n">
        <v>36.78515076</v>
      </c>
      <c r="H15" s="20" t="n">
        <v>2.67988309</v>
      </c>
      <c r="I15" s="18" t="s">
        <v>349</v>
      </c>
      <c r="J15" s="20" t="s">
        <v>349</v>
      </c>
      <c r="K15" s="18" t="n">
        <v>0.89723222</v>
      </c>
      <c r="L15" s="20" t="n">
        <v>0.70034719</v>
      </c>
      <c r="M15" s="18" t="n">
        <v>0</v>
      </c>
      <c r="N15" s="20" t="n">
        <v>0</v>
      </c>
      <c r="O15" s="18" t="n">
        <v>0</v>
      </c>
      <c r="P15" s="20" t="n">
        <v>0</v>
      </c>
      <c r="Q15" s="18" t="n">
        <v>1.4071486</v>
      </c>
      <c r="R15" s="20" t="n">
        <v>0.62438774</v>
      </c>
    </row>
    <row r="16" spans="1:18">
      <c r="A16" s="15" t="s">
        <v>358</v>
      </c>
      <c r="B16" s="17" t="n">
        <v>3111</v>
      </c>
      <c r="C16" s="18">
        <f>(2743.0/B16*100)</f>
        <v/>
      </c>
      <c r="D16" s="19" t="n">
        <v>368</v>
      </c>
      <c r="E16" s="18" t="n">
        <v>60.44066478</v>
      </c>
      <c r="F16" s="20" t="n">
        <v>2.18310585</v>
      </c>
      <c r="G16" s="18" t="n">
        <v>38.80934122</v>
      </c>
      <c r="H16" s="20" t="n">
        <v>2.16035206</v>
      </c>
      <c r="I16" s="18" t="s">
        <v>349</v>
      </c>
      <c r="J16" s="20" t="s">
        <v>349</v>
      </c>
      <c r="K16" s="18" t="n">
        <v>0</v>
      </c>
      <c r="L16" s="20" t="n">
        <v>0</v>
      </c>
      <c r="M16" s="18" t="n">
        <v>0</v>
      </c>
      <c r="N16" s="20" t="n">
        <v>0</v>
      </c>
      <c r="O16" s="18" t="n">
        <v>0</v>
      </c>
      <c r="P16" s="20" t="n">
        <v>0</v>
      </c>
      <c r="Q16" s="18" t="n">
        <v>0.74999399</v>
      </c>
      <c r="R16" s="20" t="n">
        <v>0.43784015</v>
      </c>
    </row>
    <row r="17" spans="1:18">
      <c r="A17" s="15" t="s">
        <v>359</v>
      </c>
      <c r="B17" s="17" t="n">
        <v>3197</v>
      </c>
      <c r="C17" s="18">
        <f>(2784.0/B17*100)</f>
        <v/>
      </c>
      <c r="D17" s="19" t="n">
        <v>413</v>
      </c>
      <c r="E17" s="18" t="n">
        <v>69.54375662</v>
      </c>
      <c r="F17" s="20" t="n">
        <v>1.92439752</v>
      </c>
      <c r="G17" s="18" t="n">
        <v>26.19389257</v>
      </c>
      <c r="H17" s="20" t="n">
        <v>1.94543496</v>
      </c>
      <c r="I17" s="18" t="s">
        <v>349</v>
      </c>
      <c r="J17" s="20" t="s">
        <v>349</v>
      </c>
      <c r="K17" s="18" t="n">
        <v>2.53726303</v>
      </c>
      <c r="L17" s="20" t="n">
        <v>0.60638432</v>
      </c>
      <c r="M17" s="18" t="n">
        <v>0</v>
      </c>
      <c r="N17" s="20" t="n">
        <v>0</v>
      </c>
      <c r="O17" s="18" t="n">
        <v>0</v>
      </c>
      <c r="P17" s="20" t="n">
        <v>0</v>
      </c>
      <c r="Q17" s="18" t="n">
        <v>1.72508777</v>
      </c>
      <c r="R17" s="20" t="n">
        <v>0.7491279</v>
      </c>
    </row>
    <row r="18" spans="1:18">
      <c r="A18" s="15" t="s">
        <v>360</v>
      </c>
      <c r="B18" s="17" t="n">
        <v>2706</v>
      </c>
      <c r="C18" s="18">
        <f>(2382.0/B18*100)</f>
        <v/>
      </c>
      <c r="D18" s="19" t="n">
        <v>324</v>
      </c>
      <c r="E18" s="18" t="n">
        <v>68.76249473999999</v>
      </c>
      <c r="F18" s="20" t="n">
        <v>2.43531257</v>
      </c>
      <c r="G18" s="18" t="n">
        <v>29.84872189</v>
      </c>
      <c r="H18" s="20" t="n">
        <v>2.36549347</v>
      </c>
      <c r="I18" s="18" t="s">
        <v>349</v>
      </c>
      <c r="J18" s="20" t="s">
        <v>349</v>
      </c>
      <c r="K18" s="18" t="n">
        <v>0.35737639</v>
      </c>
      <c r="L18" s="20" t="n">
        <v>0.35205864</v>
      </c>
      <c r="M18" s="18" t="n">
        <v>0</v>
      </c>
      <c r="N18" s="20" t="n">
        <v>0</v>
      </c>
      <c r="O18" s="18" t="n">
        <v>0</v>
      </c>
      <c r="P18" s="20" t="n">
        <v>0</v>
      </c>
      <c r="Q18" s="18" t="n">
        <v>1.03140699</v>
      </c>
      <c r="R18" s="20" t="n">
        <v>0.5234744</v>
      </c>
    </row>
    <row r="19" spans="1:18">
      <c r="A19" s="15" t="s">
        <v>361</v>
      </c>
      <c r="B19" s="17" t="n">
        <v>2850</v>
      </c>
      <c r="C19" s="18">
        <f>(2504.0/B19*100)</f>
        <v/>
      </c>
      <c r="D19" s="19" t="n">
        <v>346</v>
      </c>
      <c r="E19" s="18" t="n">
        <v>68.72034246</v>
      </c>
      <c r="F19" s="20" t="n">
        <v>2.48500857</v>
      </c>
      <c r="G19" s="18" t="n">
        <v>30.96983545</v>
      </c>
      <c r="H19" s="20" t="n">
        <v>2.45217788</v>
      </c>
      <c r="I19" s="18" t="s">
        <v>349</v>
      </c>
      <c r="J19" s="20" t="s">
        <v>349</v>
      </c>
      <c r="K19" s="18" t="n">
        <v>0.30982209</v>
      </c>
      <c r="L19" s="20" t="n">
        <v>0.31218209</v>
      </c>
      <c r="M19" s="18" t="n">
        <v>0</v>
      </c>
      <c r="N19" s="20" t="n">
        <v>0</v>
      </c>
      <c r="O19" s="18" t="n">
        <v>0</v>
      </c>
      <c r="P19" s="20" t="n">
        <v>0</v>
      </c>
      <c r="Q19" s="18" t="n">
        <v>0</v>
      </c>
      <c r="R19" s="20" t="n">
        <v>0</v>
      </c>
    </row>
    <row r="20" spans="1:18">
      <c r="A20" s="15" t="s">
        <v>362</v>
      </c>
      <c r="B20" s="17" t="n">
        <v>1741</v>
      </c>
      <c r="C20" s="18">
        <f>(1528.0/B20*100)</f>
        <v/>
      </c>
      <c r="D20" s="19" t="n">
        <v>213</v>
      </c>
      <c r="E20" s="18" t="n">
        <v>57.86368831</v>
      </c>
      <c r="F20" s="20" t="n">
        <v>3.72605876</v>
      </c>
      <c r="G20" s="18" t="n">
        <v>39.80249398</v>
      </c>
      <c r="H20" s="20" t="n">
        <v>3.68086224</v>
      </c>
      <c r="I20" s="18" t="s">
        <v>349</v>
      </c>
      <c r="J20" s="20" t="s">
        <v>349</v>
      </c>
      <c r="K20" s="18" t="n">
        <v>0.43620609</v>
      </c>
      <c r="L20" s="20" t="n">
        <v>0.436648</v>
      </c>
      <c r="M20" s="18" t="n">
        <v>0</v>
      </c>
      <c r="N20" s="20" t="n">
        <v>0</v>
      </c>
      <c r="O20" s="18" t="n">
        <v>0</v>
      </c>
      <c r="P20" s="20" t="n">
        <v>0</v>
      </c>
      <c r="Q20" s="18" t="n">
        <v>1.89761161</v>
      </c>
      <c r="R20" s="20" t="n">
        <v>0.95017361</v>
      </c>
    </row>
    <row r="21" spans="1:18">
      <c r="A21" s="15" t="s">
        <v>363</v>
      </c>
      <c r="B21" s="17" t="n">
        <v>2833</v>
      </c>
      <c r="C21" s="18">
        <f>(2349.0/B21*100)</f>
        <v/>
      </c>
      <c r="D21" s="19" t="n">
        <v>484</v>
      </c>
      <c r="E21" s="18" t="n">
        <v>55.18701722</v>
      </c>
      <c r="F21" s="20" t="n">
        <v>2.50584612</v>
      </c>
      <c r="G21" s="18" t="n">
        <v>44.23764632</v>
      </c>
      <c r="H21" s="20" t="n">
        <v>2.53701281</v>
      </c>
      <c r="I21" s="18" t="s">
        <v>349</v>
      </c>
      <c r="J21" s="20" t="s">
        <v>349</v>
      </c>
      <c r="K21" s="18" t="n">
        <v>0.19139709</v>
      </c>
      <c r="L21" s="20" t="n">
        <v>0.19055657</v>
      </c>
      <c r="M21" s="18" t="n">
        <v>0</v>
      </c>
      <c r="N21" s="20" t="n">
        <v>0</v>
      </c>
      <c r="O21" s="18" t="n">
        <v>0</v>
      </c>
      <c r="P21" s="20" t="n">
        <v>0</v>
      </c>
      <c r="Q21" s="18" t="n">
        <v>0.38393937</v>
      </c>
      <c r="R21" s="20" t="n">
        <v>0.27452804</v>
      </c>
    </row>
    <row r="22" spans="1:18">
      <c r="A22" s="15" t="s">
        <v>364</v>
      </c>
      <c r="B22" s="17" t="n">
        <v>3667</v>
      </c>
      <c r="C22" s="18">
        <f>(3182.0/B22*100)</f>
        <v/>
      </c>
      <c r="D22" s="19" t="n">
        <v>485</v>
      </c>
      <c r="E22" s="18" t="n">
        <v>57.19869894</v>
      </c>
      <c r="F22" s="20" t="n">
        <v>2.5724078</v>
      </c>
      <c r="G22" s="18" t="n">
        <v>39.75151447</v>
      </c>
      <c r="H22" s="20" t="n">
        <v>2.56767305</v>
      </c>
      <c r="I22" s="18" t="s">
        <v>349</v>
      </c>
      <c r="J22" s="20" t="s">
        <v>349</v>
      </c>
      <c r="K22" s="18" t="n">
        <v>1.23586968</v>
      </c>
      <c r="L22" s="20" t="n">
        <v>0.50748455</v>
      </c>
      <c r="M22" s="18" t="n">
        <v>0</v>
      </c>
      <c r="N22" s="20" t="n">
        <v>0</v>
      </c>
      <c r="O22" s="18" t="n">
        <v>0</v>
      </c>
      <c r="P22" s="20" t="n">
        <v>0</v>
      </c>
      <c r="Q22" s="18" t="n">
        <v>1.81391691</v>
      </c>
      <c r="R22" s="20" t="n">
        <v>0.66426235</v>
      </c>
    </row>
    <row r="23" spans="1:18">
      <c r="A23" s="15" t="s">
        <v>365</v>
      </c>
      <c r="B23" s="17" t="n">
        <v>5792</v>
      </c>
      <c r="C23" s="18">
        <f>(5086.0/B23*100)</f>
        <v/>
      </c>
      <c r="D23" s="19" t="n">
        <v>706</v>
      </c>
      <c r="E23" s="18" t="n">
        <v>62.46965688</v>
      </c>
      <c r="F23" s="20" t="n">
        <v>2.66131873</v>
      </c>
      <c r="G23" s="18" t="n">
        <v>35.59205659</v>
      </c>
      <c r="H23" s="20" t="n">
        <v>2.73791074</v>
      </c>
      <c r="I23" s="18" t="s">
        <v>349</v>
      </c>
      <c r="J23" s="20" t="s">
        <v>349</v>
      </c>
      <c r="K23" s="18" t="n">
        <v>0.79335658</v>
      </c>
      <c r="L23" s="20" t="n">
        <v>0.33477375</v>
      </c>
      <c r="M23" s="18" t="n">
        <v>0</v>
      </c>
      <c r="N23" s="20" t="n">
        <v>0</v>
      </c>
      <c r="O23" s="18" t="n">
        <v>0</v>
      </c>
      <c r="P23" s="20" t="n">
        <v>0</v>
      </c>
      <c r="Q23" s="18" t="n">
        <v>1.14492995</v>
      </c>
      <c r="R23" s="20" t="n">
        <v>0.55013768</v>
      </c>
    </row>
    <row r="24" spans="1:18">
      <c r="A24" s="15" t="s">
        <v>366</v>
      </c>
      <c r="B24" s="17" t="n">
        <v>3309</v>
      </c>
      <c r="C24" s="18">
        <f>(2908.0/B24*100)</f>
        <v/>
      </c>
      <c r="D24" s="19" t="n">
        <v>401</v>
      </c>
      <c r="E24" s="18" t="n">
        <v>34.03951532</v>
      </c>
      <c r="F24" s="20" t="n">
        <v>2.46076072</v>
      </c>
      <c r="G24" s="18" t="n">
        <v>65.56132429</v>
      </c>
      <c r="H24" s="20" t="n">
        <v>2.48762815</v>
      </c>
      <c r="I24" s="18" t="s">
        <v>349</v>
      </c>
      <c r="J24" s="20" t="s">
        <v>349</v>
      </c>
      <c r="K24" s="18" t="n">
        <v>0</v>
      </c>
      <c r="L24" s="20" t="n">
        <v>0</v>
      </c>
      <c r="M24" s="18" t="n">
        <v>0</v>
      </c>
      <c r="N24" s="20" t="n">
        <v>0</v>
      </c>
      <c r="O24" s="18" t="n">
        <v>0</v>
      </c>
      <c r="P24" s="20" t="n">
        <v>0</v>
      </c>
      <c r="Q24" s="18" t="n">
        <v>0.39916038</v>
      </c>
      <c r="R24" s="20" t="n">
        <v>0.29243896</v>
      </c>
    </row>
    <row r="25" spans="1:18">
      <c r="A25" s="15" t="s">
        <v>367</v>
      </c>
      <c r="B25" s="17" t="n">
        <v>2669</v>
      </c>
      <c r="C25" s="18">
        <f>(2338.0/B25*100)</f>
        <v/>
      </c>
      <c r="D25" s="19" t="n">
        <v>331</v>
      </c>
      <c r="E25" s="18" t="n">
        <v>30.25085887</v>
      </c>
      <c r="F25" s="20" t="n">
        <v>2.58923229</v>
      </c>
      <c r="G25" s="18" t="n">
        <v>69.13530623</v>
      </c>
      <c r="H25" s="20" t="n">
        <v>2.67980087</v>
      </c>
      <c r="I25" s="18" t="s">
        <v>349</v>
      </c>
      <c r="J25" s="20" t="s">
        <v>349</v>
      </c>
      <c r="K25" s="18" t="n">
        <v>0.27478707</v>
      </c>
      <c r="L25" s="20" t="n">
        <v>0.38770941</v>
      </c>
      <c r="M25" s="18" t="n">
        <v>0</v>
      </c>
      <c r="N25" s="20" t="n">
        <v>0</v>
      </c>
      <c r="O25" s="18" t="n">
        <v>0</v>
      </c>
      <c r="P25" s="20" t="n">
        <v>0</v>
      </c>
      <c r="Q25" s="18" t="n">
        <v>0.33904783</v>
      </c>
      <c r="R25" s="20" t="n">
        <v>0.33860684</v>
      </c>
    </row>
    <row r="26" spans="1:18">
      <c r="A26" s="15" t="s">
        <v>368</v>
      </c>
      <c r="B26" s="17" t="n">
        <v>2419</v>
      </c>
      <c r="C26" s="18">
        <f>(2126.0/B26*100)</f>
        <v/>
      </c>
      <c r="D26" s="19" t="n">
        <v>293</v>
      </c>
      <c r="E26" s="18" t="n">
        <v>68.23260636000001</v>
      </c>
      <c r="F26" s="20" t="n">
        <v>3.08876636</v>
      </c>
      <c r="G26" s="18" t="n">
        <v>30.5971895</v>
      </c>
      <c r="H26" s="20" t="n">
        <v>3.06993395</v>
      </c>
      <c r="I26" s="18" t="s">
        <v>349</v>
      </c>
      <c r="J26" s="20" t="s">
        <v>349</v>
      </c>
      <c r="K26" s="18" t="n">
        <v>0.63107339</v>
      </c>
      <c r="L26" s="20" t="n">
        <v>0.61182972</v>
      </c>
      <c r="M26" s="18" t="n">
        <v>0</v>
      </c>
      <c r="N26" s="20" t="n">
        <v>0</v>
      </c>
      <c r="O26" s="18" t="n">
        <v>0</v>
      </c>
      <c r="P26" s="20" t="n">
        <v>0</v>
      </c>
      <c r="Q26" s="18" t="n">
        <v>0.53913075</v>
      </c>
      <c r="R26" s="20" t="n">
        <v>0.38665115</v>
      </c>
    </row>
    <row r="27" spans="1:18">
      <c r="A27" s="15" t="s">
        <v>369</v>
      </c>
      <c r="B27" s="17" t="n">
        <v>2683</v>
      </c>
      <c r="C27" s="18">
        <f>(2357.0/B27*100)</f>
        <v/>
      </c>
      <c r="D27" s="19" t="n">
        <v>326</v>
      </c>
      <c r="E27" s="18" t="n">
        <v>71.73138937</v>
      </c>
      <c r="F27" s="20" t="n">
        <v>2.21353962</v>
      </c>
      <c r="G27" s="18" t="n">
        <v>27.61539218</v>
      </c>
      <c r="H27" s="20" t="n">
        <v>2.18371426</v>
      </c>
      <c r="I27" s="18" t="s">
        <v>349</v>
      </c>
      <c r="J27" s="20" t="s">
        <v>349</v>
      </c>
      <c r="K27" s="18" t="n">
        <v>0</v>
      </c>
      <c r="L27" s="20" t="n">
        <v>0</v>
      </c>
      <c r="M27" s="18" t="n">
        <v>0</v>
      </c>
      <c r="N27" s="20" t="n">
        <v>0</v>
      </c>
      <c r="O27" s="18" t="n">
        <v>0</v>
      </c>
      <c r="P27" s="20" t="n">
        <v>0</v>
      </c>
      <c r="Q27" s="18" t="n">
        <v>0.65321845</v>
      </c>
      <c r="R27" s="20" t="n">
        <v>0.45901072</v>
      </c>
    </row>
    <row r="28" spans="1:18">
      <c r="A28" s="15" t="s">
        <v>370</v>
      </c>
      <c r="B28" s="17" t="n">
        <v>3803</v>
      </c>
      <c r="C28" s="18">
        <f>(3363.0/B28*100)</f>
        <v/>
      </c>
      <c r="D28" s="19" t="n">
        <v>440</v>
      </c>
      <c r="E28" s="18" t="n">
        <v>75.01583078</v>
      </c>
      <c r="F28" s="20" t="n">
        <v>2.17154674</v>
      </c>
      <c r="G28" s="18" t="n">
        <v>24.0621357</v>
      </c>
      <c r="H28" s="20" t="n">
        <v>2.13758896</v>
      </c>
      <c r="I28" s="18" t="s">
        <v>349</v>
      </c>
      <c r="J28" s="20" t="s">
        <v>349</v>
      </c>
      <c r="K28" s="18" t="n">
        <v>0.21322997</v>
      </c>
      <c r="L28" s="20" t="n">
        <v>0.213467</v>
      </c>
      <c r="M28" s="18" t="n">
        <v>0</v>
      </c>
      <c r="N28" s="20" t="n">
        <v>0</v>
      </c>
      <c r="O28" s="18" t="n">
        <v>0</v>
      </c>
      <c r="P28" s="20" t="n">
        <v>0</v>
      </c>
      <c r="Q28" s="18" t="n">
        <v>0.7088035499999999</v>
      </c>
      <c r="R28" s="20" t="n">
        <v>0.42905038</v>
      </c>
    </row>
    <row r="29" spans="1:18">
      <c r="A29" s="15" t="s">
        <v>371</v>
      </c>
      <c r="B29" s="17" t="n">
        <v>2700</v>
      </c>
      <c r="C29" s="18">
        <f>(2281.0/B29*100)</f>
        <v/>
      </c>
      <c r="D29" s="19" t="n">
        <v>419</v>
      </c>
      <c r="E29" s="18" t="n">
        <v>52.69542206</v>
      </c>
      <c r="F29" s="20" t="n">
        <v>2.02606691</v>
      </c>
      <c r="G29" s="18" t="n">
        <v>45.15466057</v>
      </c>
      <c r="H29" s="20" t="n">
        <v>2.13011874</v>
      </c>
      <c r="I29" s="18" t="s">
        <v>349</v>
      </c>
      <c r="J29" s="20" t="s">
        <v>349</v>
      </c>
      <c r="K29" s="18" t="n">
        <v>1.96447309</v>
      </c>
      <c r="L29" s="20" t="n">
        <v>0.89102548</v>
      </c>
      <c r="M29" s="18" t="n">
        <v>0</v>
      </c>
      <c r="N29" s="20" t="n">
        <v>0</v>
      </c>
      <c r="O29" s="18" t="n">
        <v>0</v>
      </c>
      <c r="P29" s="20" t="n">
        <v>0</v>
      </c>
      <c r="Q29" s="18" t="n">
        <v>0.18544428</v>
      </c>
      <c r="R29" s="20" t="n">
        <v>0.18027606</v>
      </c>
    </row>
    <row r="30" spans="1:18">
      <c r="A30" s="15" t="s">
        <v>372</v>
      </c>
      <c r="B30" s="17" t="n">
        <v>2257</v>
      </c>
      <c r="C30" s="18">
        <f>(1976.0/B30*100)</f>
        <v/>
      </c>
      <c r="D30" s="19" t="n">
        <v>281</v>
      </c>
      <c r="E30" s="18" t="n">
        <v>52.05019946</v>
      </c>
      <c r="F30" s="20" t="n">
        <v>3.593289</v>
      </c>
      <c r="G30" s="18" t="n">
        <v>45.58289895</v>
      </c>
      <c r="H30" s="20" t="n">
        <v>3.17522052</v>
      </c>
      <c r="I30" s="18" t="s">
        <v>349</v>
      </c>
      <c r="J30" s="20" t="s">
        <v>349</v>
      </c>
      <c r="K30" s="18" t="n">
        <v>0.471446</v>
      </c>
      <c r="L30" s="20" t="n">
        <v>0.63296036</v>
      </c>
      <c r="M30" s="18" t="n">
        <v>0</v>
      </c>
      <c r="N30" s="20" t="n">
        <v>0</v>
      </c>
      <c r="O30" s="18" t="n">
        <v>0</v>
      </c>
      <c r="P30" s="20" t="n">
        <v>0</v>
      </c>
      <c r="Q30" s="18" t="n">
        <v>1.89545559</v>
      </c>
      <c r="R30" s="20" t="n">
        <v>0.88402316</v>
      </c>
    </row>
    <row r="31" spans="1:18">
      <c r="A31" s="15" t="s">
        <v>373</v>
      </c>
      <c r="B31" s="17" t="n">
        <v>2706</v>
      </c>
      <c r="C31" s="18">
        <f>(2387.0/B31*100)</f>
        <v/>
      </c>
      <c r="D31" s="19" t="n">
        <v>319</v>
      </c>
      <c r="E31" s="18" t="n">
        <v>52.30585022</v>
      </c>
      <c r="F31" s="20" t="n">
        <v>3.01613907</v>
      </c>
      <c r="G31" s="18" t="n">
        <v>44.90120675</v>
      </c>
      <c r="H31" s="20" t="n">
        <v>2.99981193</v>
      </c>
      <c r="I31" s="18" t="s">
        <v>349</v>
      </c>
      <c r="J31" s="20" t="s">
        <v>349</v>
      </c>
      <c r="K31" s="18" t="n">
        <v>1.39161</v>
      </c>
      <c r="L31" s="20" t="n">
        <v>0.73462693</v>
      </c>
      <c r="M31" s="18" t="n">
        <v>0</v>
      </c>
      <c r="N31" s="20" t="n">
        <v>0</v>
      </c>
      <c r="O31" s="18" t="n">
        <v>0</v>
      </c>
      <c r="P31" s="20" t="n">
        <v>0</v>
      </c>
      <c r="Q31" s="18" t="n">
        <v>1.40133303</v>
      </c>
      <c r="R31" s="20" t="n">
        <v>0.58872382</v>
      </c>
    </row>
    <row r="32" spans="1:18">
      <c r="A32" s="15" t="s">
        <v>374</v>
      </c>
      <c r="B32" s="17" t="n">
        <v>2209</v>
      </c>
      <c r="C32" s="18">
        <f>(1850.0/B32*100)</f>
        <v/>
      </c>
      <c r="D32" s="19" t="n">
        <v>359</v>
      </c>
      <c r="E32" s="18" t="n">
        <v>55.49483322</v>
      </c>
      <c r="F32" s="20" t="n">
        <v>2.89736821</v>
      </c>
      <c r="G32" s="18" t="n">
        <v>44.00148498</v>
      </c>
      <c r="H32" s="20" t="n">
        <v>2.95182582</v>
      </c>
      <c r="I32" s="18" t="s">
        <v>349</v>
      </c>
      <c r="J32" s="20" t="s">
        <v>349</v>
      </c>
      <c r="K32" s="18" t="n">
        <v>0.50368181</v>
      </c>
      <c r="L32" s="20" t="n">
        <v>0.36191483</v>
      </c>
      <c r="M32" s="18" t="n">
        <v>0</v>
      </c>
      <c r="N32" s="20" t="n">
        <v>0</v>
      </c>
      <c r="O32" s="18" t="n">
        <v>0</v>
      </c>
      <c r="P32" s="20" t="n">
        <v>0</v>
      </c>
      <c r="Q32" s="18" t="n">
        <v>0</v>
      </c>
      <c r="R32" s="20" t="n">
        <v>0</v>
      </c>
    </row>
    <row r="33" spans="1:18">
      <c r="A33" s="15" t="s">
        <v>375</v>
      </c>
      <c r="B33" s="17" t="n">
        <v>3651</v>
      </c>
      <c r="C33" s="18">
        <f>(3220.0/B33*100)</f>
        <v/>
      </c>
      <c r="D33" s="19" t="n">
        <v>431</v>
      </c>
      <c r="E33" s="18" t="n">
        <v>52.52398534</v>
      </c>
      <c r="F33" s="20" t="n">
        <v>3.01693898</v>
      </c>
      <c r="G33" s="18" t="n">
        <v>47.44918097</v>
      </c>
      <c r="H33" s="20" t="n">
        <v>3.01506766</v>
      </c>
      <c r="I33" s="18" t="s">
        <v>349</v>
      </c>
      <c r="J33" s="20" t="s">
        <v>349</v>
      </c>
      <c r="K33" s="18" t="n">
        <v>0</v>
      </c>
      <c r="L33" s="20" t="n">
        <v>0</v>
      </c>
      <c r="M33" s="18" t="n">
        <v>0</v>
      </c>
      <c r="N33" s="20" t="n">
        <v>0</v>
      </c>
      <c r="O33" s="18" t="n">
        <v>0</v>
      </c>
      <c r="P33" s="20" t="n">
        <v>0</v>
      </c>
      <c r="Q33" s="18" t="n">
        <v>0.0268337</v>
      </c>
      <c r="R33" s="20" t="n">
        <v>0.02682078</v>
      </c>
    </row>
    <row r="34" spans="1:18">
      <c r="A34" s="15" t="s">
        <v>376</v>
      </c>
      <c r="B34" s="17" t="n">
        <v>3035</v>
      </c>
      <c r="C34" s="18">
        <f>(2587.0/B34*100)</f>
        <v/>
      </c>
      <c r="D34" s="19" t="n">
        <v>448</v>
      </c>
      <c r="E34" s="18" t="n">
        <v>59.40451889</v>
      </c>
      <c r="F34" s="20" t="n">
        <v>2.43353959</v>
      </c>
      <c r="G34" s="18" t="n">
        <v>37.51705999</v>
      </c>
      <c r="H34" s="20" t="n">
        <v>2.52874259</v>
      </c>
      <c r="I34" s="18" t="s">
        <v>349</v>
      </c>
      <c r="J34" s="20" t="s">
        <v>349</v>
      </c>
      <c r="K34" s="18" t="n">
        <v>1.40170388</v>
      </c>
      <c r="L34" s="20" t="n">
        <v>0.85385517</v>
      </c>
      <c r="M34" s="18" t="n">
        <v>0</v>
      </c>
      <c r="N34" s="20" t="n">
        <v>0</v>
      </c>
      <c r="O34" s="18" t="n">
        <v>0</v>
      </c>
      <c r="P34" s="20" t="n">
        <v>0</v>
      </c>
      <c r="Q34" s="18" t="n">
        <v>1.67671724</v>
      </c>
      <c r="R34" s="20" t="n">
        <v>0.58370648</v>
      </c>
    </row>
    <row r="35" spans="1:18">
      <c r="A35" s="15" t="s">
        <v>377</v>
      </c>
      <c r="B35" s="17" t="n">
        <v>2901</v>
      </c>
      <c r="C35" s="18">
        <f>(2517.0/B35*100)</f>
        <v/>
      </c>
      <c r="D35" s="19" t="n">
        <v>384</v>
      </c>
      <c r="E35" s="18" t="n">
        <v>50.1458868</v>
      </c>
      <c r="F35" s="20" t="n">
        <v>3.27699294</v>
      </c>
      <c r="G35" s="18" t="n">
        <v>48.45141187</v>
      </c>
      <c r="H35" s="20" t="n">
        <v>3.34618245</v>
      </c>
      <c r="I35" s="18" t="s">
        <v>349</v>
      </c>
      <c r="J35" s="20" t="s">
        <v>349</v>
      </c>
      <c r="K35" s="18" t="n">
        <v>0.10889268</v>
      </c>
      <c r="L35" s="20" t="n">
        <v>0.10826203</v>
      </c>
      <c r="M35" s="18" t="n">
        <v>0</v>
      </c>
      <c r="N35" s="20" t="n">
        <v>0</v>
      </c>
      <c r="O35" s="18" t="n">
        <v>0</v>
      </c>
      <c r="P35" s="20" t="n">
        <v>0</v>
      </c>
      <c r="Q35" s="18" t="n">
        <v>1.29380865</v>
      </c>
      <c r="R35" s="20" t="n">
        <v>0.6573976</v>
      </c>
    </row>
    <row r="36" spans="1:18">
      <c r="A36" s="15" t="s">
        <v>378</v>
      </c>
      <c r="B36" s="17" t="n">
        <v>3404</v>
      </c>
      <c r="C36" s="18">
        <f>(2980.0/B36*100)</f>
        <v/>
      </c>
      <c r="D36" s="19" t="n">
        <v>424</v>
      </c>
      <c r="E36" s="18" t="n">
        <v>72.67179075999999</v>
      </c>
      <c r="F36" s="20" t="n">
        <v>2.54257501</v>
      </c>
      <c r="G36" s="18" t="n">
        <v>26.59538743</v>
      </c>
      <c r="H36" s="20" t="n">
        <v>2.50184679</v>
      </c>
      <c r="I36" s="18" t="s">
        <v>349</v>
      </c>
      <c r="J36" s="20" t="s">
        <v>349</v>
      </c>
      <c r="K36" s="18" t="n">
        <v>0.40047154</v>
      </c>
      <c r="L36" s="20" t="n">
        <v>0.29948743</v>
      </c>
      <c r="M36" s="18" t="n">
        <v>0</v>
      </c>
      <c r="N36" s="20" t="n">
        <v>0</v>
      </c>
      <c r="O36" s="18" t="n">
        <v>0</v>
      </c>
      <c r="P36" s="20" t="n">
        <v>0</v>
      </c>
      <c r="Q36" s="18" t="n">
        <v>0.33235026</v>
      </c>
      <c r="R36" s="20" t="n">
        <v>0.24557236</v>
      </c>
    </row>
    <row r="37" spans="1:18">
      <c r="A37" s="15" t="s">
        <v>379</v>
      </c>
      <c r="B37" s="17" t="n">
        <v>2731</v>
      </c>
      <c r="C37" s="18">
        <f>(2407.0/B37*100)</f>
        <v/>
      </c>
      <c r="D37" s="19" t="n">
        <v>324</v>
      </c>
      <c r="E37" s="18" t="n">
        <v>56.55993378</v>
      </c>
      <c r="F37" s="20" t="n">
        <v>2.74907679</v>
      </c>
      <c r="G37" s="18" t="n">
        <v>41.61779357</v>
      </c>
      <c r="H37" s="20" t="n">
        <v>2.74796251</v>
      </c>
      <c r="I37" s="18" t="s">
        <v>349</v>
      </c>
      <c r="J37" s="20" t="s">
        <v>349</v>
      </c>
      <c r="K37" s="18" t="n">
        <v>0.68280707</v>
      </c>
      <c r="L37" s="20" t="n">
        <v>0.4694354</v>
      </c>
      <c r="M37" s="18" t="n">
        <v>0</v>
      </c>
      <c r="N37" s="20" t="n">
        <v>0</v>
      </c>
      <c r="O37" s="18" t="n">
        <v>0</v>
      </c>
      <c r="P37" s="20" t="n">
        <v>0</v>
      </c>
      <c r="Q37" s="18" t="n">
        <v>1.13946558</v>
      </c>
      <c r="R37" s="20" t="n">
        <v>0.59618479</v>
      </c>
    </row>
    <row r="38" spans="1:18">
      <c r="A38" s="15" t="s">
        <v>380</v>
      </c>
      <c r="B38" s="17" t="n">
        <v>2807</v>
      </c>
      <c r="C38" s="18">
        <f>(2333.0/B38*100)</f>
        <v/>
      </c>
      <c r="D38" s="19" t="n">
        <v>474</v>
      </c>
      <c r="E38" s="18" t="n">
        <v>63.66375578</v>
      </c>
      <c r="F38" s="20" t="n">
        <v>2.91855905</v>
      </c>
      <c r="G38" s="18" t="n">
        <v>34.48394762</v>
      </c>
      <c r="H38" s="20" t="n">
        <v>2.95475646</v>
      </c>
      <c r="I38" s="18" t="s">
        <v>349</v>
      </c>
      <c r="J38" s="20" t="s">
        <v>349</v>
      </c>
      <c r="K38" s="18" t="n">
        <v>0.22740584</v>
      </c>
      <c r="L38" s="20" t="n">
        <v>0.19989524</v>
      </c>
      <c r="M38" s="18" t="n">
        <v>0</v>
      </c>
      <c r="N38" s="20" t="n">
        <v>0</v>
      </c>
      <c r="O38" s="18" t="n">
        <v>0</v>
      </c>
      <c r="P38" s="20" t="n">
        <v>0</v>
      </c>
      <c r="Q38" s="18" t="n">
        <v>1.62489075</v>
      </c>
      <c r="R38" s="20" t="n">
        <v>0.62771901</v>
      </c>
    </row>
    <row r="39" spans="1:18">
      <c r="A39" s="15" t="s">
        <v>381</v>
      </c>
      <c r="B39" s="17" t="n">
        <v>2938</v>
      </c>
      <c r="C39" s="18">
        <f>(2570.0/B39*100)</f>
        <v/>
      </c>
      <c r="D39" s="19" t="n">
        <v>368</v>
      </c>
      <c r="E39" s="18" t="n">
        <v>62.93608527</v>
      </c>
      <c r="F39" s="20" t="n">
        <v>2.76573757</v>
      </c>
      <c r="G39" s="18" t="n">
        <v>35.63577039</v>
      </c>
      <c r="H39" s="20" t="n">
        <v>2.782462</v>
      </c>
      <c r="I39" s="18" t="s">
        <v>349</v>
      </c>
      <c r="J39" s="20" t="s">
        <v>349</v>
      </c>
      <c r="K39" s="18" t="n">
        <v>0</v>
      </c>
      <c r="L39" s="20" t="n">
        <v>0</v>
      </c>
      <c r="M39" s="18" t="n">
        <v>0</v>
      </c>
      <c r="N39" s="20" t="n">
        <v>0</v>
      </c>
      <c r="O39" s="18" t="n">
        <v>0</v>
      </c>
      <c r="P39" s="20" t="n">
        <v>0</v>
      </c>
      <c r="Q39" s="18" t="n">
        <v>1.42814434</v>
      </c>
      <c r="R39" s="20" t="n">
        <v>0.60191871</v>
      </c>
    </row>
    <row r="40" spans="1:18">
      <c r="A40" s="15" t="s">
        <v>382</v>
      </c>
      <c r="B40" s="17" t="n">
        <v>6922</v>
      </c>
      <c r="C40" s="18">
        <f>(6057.0/B40*100)</f>
        <v/>
      </c>
      <c r="D40" s="19" t="n">
        <v>865</v>
      </c>
      <c r="E40" s="18" t="n">
        <v>49.07311162</v>
      </c>
      <c r="F40" s="20" t="n">
        <v>2.70349846</v>
      </c>
      <c r="G40" s="18" t="n">
        <v>48.88825077</v>
      </c>
      <c r="H40" s="20" t="n">
        <v>2.68412674</v>
      </c>
      <c r="I40" s="18" t="s">
        <v>349</v>
      </c>
      <c r="J40" s="20" t="s">
        <v>349</v>
      </c>
      <c r="K40" s="18" t="n">
        <v>0.8953356</v>
      </c>
      <c r="L40" s="20" t="n">
        <v>0.54332453</v>
      </c>
      <c r="M40" s="18" t="n">
        <v>0</v>
      </c>
      <c r="N40" s="20" t="n">
        <v>0</v>
      </c>
      <c r="O40" s="18" t="n">
        <v>0</v>
      </c>
      <c r="P40" s="20" t="n">
        <v>0</v>
      </c>
      <c r="Q40" s="18" t="n">
        <v>1.14330202</v>
      </c>
      <c r="R40" s="20" t="n">
        <v>0.477953</v>
      </c>
    </row>
    <row r="41" spans="1:18">
      <c r="A41" s="15" t="s">
        <v>383</v>
      </c>
      <c r="B41" s="17" t="n">
        <v>2854</v>
      </c>
      <c r="C41" s="18">
        <f>(2491.0/B41*100)</f>
        <v/>
      </c>
      <c r="D41" s="19" t="n">
        <v>363</v>
      </c>
      <c r="E41" s="18" t="n">
        <v>53.9411456</v>
      </c>
      <c r="F41" s="20" t="n">
        <v>2.93682943</v>
      </c>
      <c r="G41" s="18" t="n">
        <v>46.0588544</v>
      </c>
      <c r="H41" s="20" t="n">
        <v>2.93682943</v>
      </c>
      <c r="I41" s="18" t="s">
        <v>349</v>
      </c>
      <c r="J41" s="20" t="s">
        <v>349</v>
      </c>
      <c r="K41" s="18" t="n">
        <v>0</v>
      </c>
      <c r="L41" s="20" t="n">
        <v>0</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(10763.0/B46*100)</f>
        <v/>
      </c>
      <c r="D46" s="19" t="n">
        <v>1310</v>
      </c>
      <c r="E46" s="18" t="n">
        <v>76.13067158</v>
      </c>
      <c r="F46" s="20" t="n">
        <v>1.64580732</v>
      </c>
      <c r="G46" s="18" t="n">
        <v>21.01362942</v>
      </c>
      <c r="H46" s="20" t="n">
        <v>1.50854218</v>
      </c>
      <c r="I46" s="18" t="s">
        <v>349</v>
      </c>
      <c r="J46" s="20" t="s">
        <v>349</v>
      </c>
      <c r="K46" s="18" t="n">
        <v>1.31282693</v>
      </c>
      <c r="L46" s="20" t="n">
        <v>0.34548846</v>
      </c>
      <c r="M46" s="18" t="n">
        <v>0</v>
      </c>
      <c r="N46" s="20" t="n">
        <v>0</v>
      </c>
      <c r="O46" s="18" t="n">
        <v>0</v>
      </c>
      <c r="P46" s="20" t="n">
        <v>0</v>
      </c>
      <c r="Q46" s="18" t="n">
        <v>1.54287206</v>
      </c>
      <c r="R46" s="20" t="n">
        <v>0.56658316</v>
      </c>
    </row>
    <row r="47" spans="1:18">
      <c r="A47" s="15" t="s">
        <v>389</v>
      </c>
      <c r="B47" s="17" t="n">
        <v>2823</v>
      </c>
      <c r="C47" s="18">
        <f>(2477.0/B47*100)</f>
        <v/>
      </c>
      <c r="D47" s="19" t="n">
        <v>346</v>
      </c>
      <c r="E47" s="18" t="n">
        <v>67.00263382</v>
      </c>
      <c r="F47" s="20" t="n">
        <v>2.76908674</v>
      </c>
      <c r="G47" s="18" t="n">
        <v>32.10892274</v>
      </c>
      <c r="H47" s="20" t="n">
        <v>2.73361162</v>
      </c>
      <c r="I47" s="18" t="s">
        <v>349</v>
      </c>
      <c r="J47" s="20" t="s">
        <v>349</v>
      </c>
      <c r="K47" s="18" t="n">
        <v>0</v>
      </c>
      <c r="L47" s="20" t="n">
        <v>0</v>
      </c>
      <c r="M47" s="18" t="n">
        <v>0</v>
      </c>
      <c r="N47" s="20" t="n">
        <v>0</v>
      </c>
      <c r="O47" s="18" t="n">
        <v>0</v>
      </c>
      <c r="P47" s="20" t="n">
        <v>0</v>
      </c>
      <c r="Q47" s="18" t="n">
        <v>0.88844344</v>
      </c>
      <c r="R47" s="20" t="n">
        <v>0.51297741</v>
      </c>
    </row>
    <row r="48" spans="1:18">
      <c r="A48" s="15" t="s">
        <v>390</v>
      </c>
      <c r="B48" s="17" t="n">
        <v>4682</v>
      </c>
      <c r="C48" s="18">
        <f>(4114.0/B48*100)</f>
        <v/>
      </c>
      <c r="D48" s="19" t="n">
        <v>568</v>
      </c>
      <c r="E48" s="18" t="n">
        <v>37.34809991</v>
      </c>
      <c r="F48" s="20" t="n">
        <v>2.82051633</v>
      </c>
      <c r="G48" s="18" t="n">
        <v>61.13424823</v>
      </c>
      <c r="H48" s="20" t="n">
        <v>2.9327196</v>
      </c>
      <c r="I48" s="18" t="s">
        <v>349</v>
      </c>
      <c r="J48" s="20" t="s">
        <v>349</v>
      </c>
      <c r="K48" s="18" t="n">
        <v>0.34763427</v>
      </c>
      <c r="L48" s="20" t="n">
        <v>0.33807802</v>
      </c>
      <c r="M48" s="18" t="n">
        <v>0</v>
      </c>
      <c r="N48" s="20" t="n">
        <v>0</v>
      </c>
      <c r="O48" s="18" t="n">
        <v>0</v>
      </c>
      <c r="P48" s="20" t="n">
        <v>0</v>
      </c>
      <c r="Q48" s="18" t="n">
        <v>1.17001759</v>
      </c>
      <c r="R48" s="20" t="n">
        <v>0.57659531</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(5444.0/B50*100)</f>
        <v/>
      </c>
      <c r="D50" s="19" t="n">
        <v>714</v>
      </c>
      <c r="E50" s="18" t="n">
        <v>77.98561555000001</v>
      </c>
      <c r="F50" s="20" t="n">
        <v>1.99686772</v>
      </c>
      <c r="G50" s="18" t="n">
        <v>19.8519895</v>
      </c>
      <c r="H50" s="20" t="n">
        <v>2.00294745</v>
      </c>
      <c r="I50" s="18" t="s">
        <v>349</v>
      </c>
      <c r="J50" s="20" t="s">
        <v>349</v>
      </c>
      <c r="K50" s="18" t="n">
        <v>1.27958544</v>
      </c>
      <c r="L50" s="20" t="n">
        <v>0.63671521</v>
      </c>
      <c r="M50" s="18" t="n">
        <v>0</v>
      </c>
      <c r="N50" s="20" t="n">
        <v>0</v>
      </c>
      <c r="O50" s="18" t="n">
        <v>0</v>
      </c>
      <c r="P50" s="20" t="n">
        <v>0</v>
      </c>
      <c r="Q50" s="18" t="n">
        <v>0.88280951</v>
      </c>
      <c r="R50" s="20" t="n">
        <v>0.43701868</v>
      </c>
    </row>
    <row r="51" spans="1:18">
      <c r="A51" s="15" t="s">
        <v>393</v>
      </c>
      <c r="B51" s="17" t="n">
        <v>3494</v>
      </c>
      <c r="C51" s="18">
        <f>(2830.0/B51*100)</f>
        <v/>
      </c>
      <c r="D51" s="19" t="n">
        <v>664</v>
      </c>
      <c r="E51" s="18" t="n">
        <v>79.74958316</v>
      </c>
      <c r="F51" s="20" t="n">
        <v>1.89916636</v>
      </c>
      <c r="G51" s="18" t="n">
        <v>16.95207468</v>
      </c>
      <c r="H51" s="20" t="n">
        <v>1.65105018</v>
      </c>
      <c r="I51" s="18" t="s">
        <v>349</v>
      </c>
      <c r="J51" s="20" t="s">
        <v>349</v>
      </c>
      <c r="K51" s="18" t="n">
        <v>1.308477</v>
      </c>
      <c r="L51" s="20" t="n">
        <v>0.48762388</v>
      </c>
      <c r="M51" s="18" t="n">
        <v>0</v>
      </c>
      <c r="N51" s="20" t="n">
        <v>0</v>
      </c>
      <c r="O51" s="18" t="n">
        <v>0</v>
      </c>
      <c r="P51" s="20" t="n">
        <v>0</v>
      </c>
      <c r="Q51" s="18" t="n">
        <v>1.98986517</v>
      </c>
      <c r="R51" s="20" t="n">
        <v>0.59807159</v>
      </c>
    </row>
    <row r="52" spans="1:18">
      <c r="A52" s="15" t="s">
        <v>394</v>
      </c>
      <c r="B52" s="17" t="n">
        <v>3013</v>
      </c>
      <c r="C52" s="18">
        <f>(2645.0/B52*100)</f>
        <v/>
      </c>
      <c r="D52" s="19" t="n">
        <v>368</v>
      </c>
      <c r="E52" s="18" t="n">
        <v>74.91090502</v>
      </c>
      <c r="F52" s="20" t="n">
        <v>2.45297379</v>
      </c>
      <c r="G52" s="18" t="n">
        <v>24.35058336</v>
      </c>
      <c r="H52" s="20" t="n">
        <v>2.44082096</v>
      </c>
      <c r="I52" s="18" t="s">
        <v>349</v>
      </c>
      <c r="J52" s="20" t="s">
        <v>349</v>
      </c>
      <c r="K52" s="18" t="n">
        <v>0</v>
      </c>
      <c r="L52" s="20" t="n">
        <v>0</v>
      </c>
      <c r="M52" s="18" t="n">
        <v>0</v>
      </c>
      <c r="N52" s="20" t="n">
        <v>0</v>
      </c>
      <c r="O52" s="18" t="n">
        <v>0</v>
      </c>
      <c r="P52" s="20" t="n">
        <v>0</v>
      </c>
      <c r="Q52" s="18" t="n">
        <v>0.73851162</v>
      </c>
      <c r="R52" s="20" t="n">
        <v>0.42263345</v>
      </c>
    </row>
    <row r="53" spans="1:18">
      <c r="A53" s="15" t="s">
        <v>395</v>
      </c>
      <c r="B53" s="17" t="n">
        <v>2760</v>
      </c>
      <c r="C53" s="18">
        <f>(2442.0/B53*100)</f>
        <v/>
      </c>
      <c r="D53" s="19" t="n">
        <v>318</v>
      </c>
      <c r="E53" s="18" t="n">
        <v>66.67629054</v>
      </c>
      <c r="F53" s="20" t="n">
        <v>2.9322144</v>
      </c>
      <c r="G53" s="18" t="n">
        <v>31.20591772</v>
      </c>
      <c r="H53" s="20" t="n">
        <v>2.86246405</v>
      </c>
      <c r="I53" s="18" t="s">
        <v>349</v>
      </c>
      <c r="J53" s="20" t="s">
        <v>349</v>
      </c>
      <c r="K53" s="18" t="n">
        <v>1.32645699</v>
      </c>
      <c r="L53" s="20" t="n">
        <v>0.58954107</v>
      </c>
      <c r="M53" s="18" t="n">
        <v>0</v>
      </c>
      <c r="N53" s="20" t="n">
        <v>0</v>
      </c>
      <c r="O53" s="18" t="n">
        <v>0</v>
      </c>
      <c r="P53" s="20" t="n">
        <v>0</v>
      </c>
      <c r="Q53" s="18" t="n">
        <v>0.79133475</v>
      </c>
      <c r="R53" s="20" t="n">
        <v>0.46029431</v>
      </c>
    </row>
    <row r="54" spans="1:18">
      <c r="A54" s="15" t="s">
        <v>396</v>
      </c>
      <c r="B54" s="17" t="n">
        <v>2474</v>
      </c>
      <c r="C54" s="18">
        <f>(2056.0/B54*100)</f>
        <v/>
      </c>
      <c r="D54" s="19" t="n">
        <v>418</v>
      </c>
      <c r="E54" s="18" t="n">
        <v>72.69929980000001</v>
      </c>
      <c r="F54" s="20" t="n">
        <v>2.27352105</v>
      </c>
      <c r="G54" s="18" t="n">
        <v>19.41597342</v>
      </c>
      <c r="H54" s="20" t="n">
        <v>2.11991672</v>
      </c>
      <c r="I54" s="18" t="s">
        <v>349</v>
      </c>
      <c r="J54" s="20" t="s">
        <v>349</v>
      </c>
      <c r="K54" s="18" t="n">
        <v>3.38833537</v>
      </c>
      <c r="L54" s="20" t="n">
        <v>0.88191362</v>
      </c>
      <c r="M54" s="18" t="n">
        <v>0</v>
      </c>
      <c r="N54" s="20" t="n">
        <v>0</v>
      </c>
      <c r="O54" s="18" t="n">
        <v>0</v>
      </c>
      <c r="P54" s="20" t="n">
        <v>0</v>
      </c>
      <c r="Q54" s="18" t="n">
        <v>4.49639141</v>
      </c>
      <c r="R54" s="20" t="n">
        <v>0.90769978</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(2356.0/B56*100)</f>
        <v/>
      </c>
      <c r="D56" s="19" t="n">
        <v>319</v>
      </c>
      <c r="E56" s="18" t="n">
        <v>41.53841011</v>
      </c>
      <c r="F56" s="20" t="n">
        <v>2.88586133</v>
      </c>
      <c r="G56" s="18" t="n">
        <v>58.17996517</v>
      </c>
      <c r="H56" s="20" t="n">
        <v>2.86456696</v>
      </c>
      <c r="I56" s="18" t="s">
        <v>349</v>
      </c>
      <c r="J56" s="20" t="s">
        <v>349</v>
      </c>
      <c r="K56" s="18" t="n">
        <v>0</v>
      </c>
      <c r="L56" s="20" t="n">
        <v>0</v>
      </c>
      <c r="M56" s="18" t="n">
        <v>0</v>
      </c>
      <c r="N56" s="20" t="n">
        <v>0</v>
      </c>
      <c r="O56" s="18" t="n">
        <v>0</v>
      </c>
      <c r="P56" s="20" t="n">
        <v>0</v>
      </c>
      <c r="Q56" s="18" t="n">
        <v>0.28162472</v>
      </c>
      <c r="R56" s="20" t="n">
        <v>0.29076947</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(2804.0/B61*100)</f>
        <v/>
      </c>
      <c r="D61" s="19" t="n">
        <v>397</v>
      </c>
      <c r="E61" s="18" t="n">
        <v>67.77975463999999</v>
      </c>
      <c r="F61" s="20" t="n">
        <v>2.63423847</v>
      </c>
      <c r="G61" s="18" t="n">
        <v>30.84309757</v>
      </c>
      <c r="H61" s="20" t="n">
        <v>2.64181457</v>
      </c>
      <c r="I61" s="18" t="s">
        <v>349</v>
      </c>
      <c r="J61" s="20" t="s">
        <v>349</v>
      </c>
      <c r="K61" s="18" t="n">
        <v>0.30360449</v>
      </c>
      <c r="L61" s="20" t="n">
        <v>0.30195508</v>
      </c>
      <c r="M61" s="18" t="n">
        <v>0</v>
      </c>
      <c r="N61" s="20" t="n">
        <v>0</v>
      </c>
      <c r="O61" s="18" t="n">
        <v>0</v>
      </c>
      <c r="P61" s="20" t="n">
        <v>0</v>
      </c>
      <c r="Q61" s="18" t="n">
        <v>1.0735433</v>
      </c>
      <c r="R61" s="20" t="n">
        <v>0.58428258</v>
      </c>
    </row>
    <row r="62" spans="1:18">
      <c r="A62" s="15" t="s">
        <v>404</v>
      </c>
      <c r="B62" s="17" t="n">
        <v>2230</v>
      </c>
      <c r="C62" s="18">
        <f>(1970.0/B62*100)</f>
        <v/>
      </c>
      <c r="D62" s="19" t="n">
        <v>260</v>
      </c>
      <c r="E62" s="18" t="n">
        <v>57.69738613</v>
      </c>
      <c r="F62" s="20" t="n">
        <v>3.49762551</v>
      </c>
      <c r="G62" s="18" t="n">
        <v>41.92051098</v>
      </c>
      <c r="H62" s="20" t="n">
        <v>3.4858612</v>
      </c>
      <c r="I62" s="18" t="s">
        <v>349</v>
      </c>
      <c r="J62" s="20" t="s">
        <v>349</v>
      </c>
      <c r="K62" s="18" t="n">
        <v>0</v>
      </c>
      <c r="L62" s="20" t="n">
        <v>0</v>
      </c>
      <c r="M62" s="18" t="n">
        <v>0</v>
      </c>
      <c r="N62" s="20" t="n">
        <v>0</v>
      </c>
      <c r="O62" s="18" t="n">
        <v>0</v>
      </c>
      <c r="P62" s="20" t="n">
        <v>0</v>
      </c>
      <c r="Q62" s="18" t="n">
        <v>0.38210288</v>
      </c>
      <c r="R62" s="20" t="n">
        <v>0.3769594</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(2434.0/B66*100)</f>
        <v/>
      </c>
      <c r="D66" s="19" t="n">
        <v>337</v>
      </c>
      <c r="E66" s="18" t="n">
        <v>74.61255697999999</v>
      </c>
      <c r="F66" s="20" t="n">
        <v>2.30342553</v>
      </c>
      <c r="G66" s="18" t="n">
        <v>17.84670326</v>
      </c>
      <c r="H66" s="20" t="n">
        <v>2.10112822</v>
      </c>
      <c r="I66" s="18" t="s">
        <v>349</v>
      </c>
      <c r="J66" s="20" t="s">
        <v>349</v>
      </c>
      <c r="K66" s="18" t="n">
        <v>0.89682683</v>
      </c>
      <c r="L66" s="20" t="n">
        <v>0.5254040800000001</v>
      </c>
      <c r="M66" s="18" t="n">
        <v>0</v>
      </c>
      <c r="N66" s="20" t="n">
        <v>0</v>
      </c>
      <c r="O66" s="18" t="n">
        <v>0</v>
      </c>
      <c r="P66" s="20" t="n">
        <v>0</v>
      </c>
      <c r="Q66" s="18" t="n">
        <v>6.64391292</v>
      </c>
      <c r="R66" s="20" t="n">
        <v>1.33520835</v>
      </c>
    </row>
    <row r="67" spans="1:18">
      <c r="A67" s="15" t="s">
        <v>409</v>
      </c>
      <c r="B67" s="17" t="n">
        <v>3460</v>
      </c>
      <c r="C67" s="18">
        <f>(3054.0/B67*100)</f>
        <v/>
      </c>
      <c r="D67" s="19" t="n">
        <v>406</v>
      </c>
      <c r="E67" s="18" t="n">
        <v>77.93396657</v>
      </c>
      <c r="F67" s="20" t="n">
        <v>2.02562193</v>
      </c>
      <c r="G67" s="18" t="n">
        <v>19.92122943</v>
      </c>
      <c r="H67" s="20" t="n">
        <v>1.95618582</v>
      </c>
      <c r="I67" s="18" t="s">
        <v>349</v>
      </c>
      <c r="J67" s="20" t="s">
        <v>349</v>
      </c>
      <c r="K67" s="18" t="n">
        <v>0</v>
      </c>
      <c r="L67" s="20" t="n">
        <v>0</v>
      </c>
      <c r="M67" s="18" t="n">
        <v>0</v>
      </c>
      <c r="N67" s="20" t="n">
        <v>0</v>
      </c>
      <c r="O67" s="18" t="n">
        <v>0</v>
      </c>
      <c r="P67" s="20" t="n">
        <v>0</v>
      </c>
      <c r="Q67" s="18" t="n">
        <v>2.144804</v>
      </c>
      <c r="R67" s="20" t="n">
        <v>0.82408912</v>
      </c>
    </row>
    <row r="68" spans="1:18">
      <c r="A68" s="15" t="s">
        <v>410</v>
      </c>
      <c r="B68" s="17" t="n">
        <v>6034</v>
      </c>
      <c r="C68" s="18">
        <f>(5046.0/B68*100)</f>
        <v/>
      </c>
      <c r="D68" s="19" t="n">
        <v>988</v>
      </c>
      <c r="E68" s="18" t="n">
        <v>68.79785416</v>
      </c>
      <c r="F68" s="20" t="n">
        <v>1.36794346</v>
      </c>
      <c r="G68" s="18" t="n">
        <v>28.59909865</v>
      </c>
      <c r="H68" s="20" t="n">
        <v>1.27396189</v>
      </c>
      <c r="I68" s="18" t="s">
        <v>349</v>
      </c>
      <c r="J68" s="20" t="s">
        <v>349</v>
      </c>
      <c r="K68" s="18" t="n">
        <v>1.4006542</v>
      </c>
      <c r="L68" s="20" t="n">
        <v>0.40549376</v>
      </c>
      <c r="M68" s="18" t="n">
        <v>0</v>
      </c>
      <c r="N68" s="20" t="n">
        <v>0</v>
      </c>
      <c r="O68" s="18" t="n">
        <v>0</v>
      </c>
      <c r="P68" s="20" t="n">
        <v>0</v>
      </c>
      <c r="Q68" s="18" t="n">
        <v>1.20239298</v>
      </c>
      <c r="R68" s="20" t="n">
        <v>0.37275967</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(2742.0/B70*100)</f>
        <v/>
      </c>
      <c r="D70" s="19" t="n">
        <v>365</v>
      </c>
      <c r="E70" s="18" t="n">
        <v>68.10617684</v>
      </c>
      <c r="F70" s="20" t="n">
        <v>3.11057663</v>
      </c>
      <c r="G70" s="18" t="n">
        <v>30.67501874</v>
      </c>
      <c r="H70" s="20" t="n">
        <v>3.24042803</v>
      </c>
      <c r="I70" s="18" t="s">
        <v>349</v>
      </c>
      <c r="J70" s="20" t="s">
        <v>349</v>
      </c>
      <c r="K70" s="18" t="n">
        <v>0.33396383</v>
      </c>
      <c r="L70" s="20" t="n">
        <v>0.235792</v>
      </c>
      <c r="M70" s="18" t="n">
        <v>0</v>
      </c>
      <c r="N70" s="20" t="n">
        <v>0</v>
      </c>
      <c r="O70" s="18" t="n">
        <v>0</v>
      </c>
      <c r="P70" s="20" t="n">
        <v>0</v>
      </c>
      <c r="Q70" s="18" t="n">
        <v>0.8848406</v>
      </c>
      <c r="R70" s="20" t="n">
        <v>0.31954002</v>
      </c>
    </row>
    <row r="71" spans="1:18">
      <c r="A71" s="15" t="s">
        <v>413</v>
      </c>
      <c r="B71" s="17" t="n">
        <v>2973</v>
      </c>
      <c r="C71" s="18">
        <f>(2593.0/B71*100)</f>
        <v/>
      </c>
      <c r="D71" s="19" t="n">
        <v>380</v>
      </c>
      <c r="E71" s="18" t="n">
        <v>36.49216834</v>
      </c>
      <c r="F71" s="20" t="n">
        <v>2.64355894</v>
      </c>
      <c r="G71" s="18" t="n">
        <v>63.09055167</v>
      </c>
      <c r="H71" s="20" t="n">
        <v>2.64254732</v>
      </c>
      <c r="I71" s="18" t="s">
        <v>349</v>
      </c>
      <c r="J71" s="20" t="s">
        <v>349</v>
      </c>
      <c r="K71" s="18" t="n">
        <v>0.17838742</v>
      </c>
      <c r="L71" s="20" t="n">
        <v>0.17902745</v>
      </c>
      <c r="M71" s="18" t="n">
        <v>0</v>
      </c>
      <c r="N71" s="20" t="n">
        <v>0</v>
      </c>
      <c r="O71" s="18" t="n">
        <v>0</v>
      </c>
      <c r="P71" s="20" t="n">
        <v>0</v>
      </c>
      <c r="Q71" s="18" t="n">
        <v>0.23889257</v>
      </c>
      <c r="R71" s="20" t="n">
        <v>0.20767053</v>
      </c>
    </row>
    <row r="72" spans="1:18">
      <c r="A72" s="15" t="s">
        <v>414</v>
      </c>
      <c r="B72" s="17" t="n">
        <v>3819</v>
      </c>
      <c r="C72" s="18">
        <f>(3341.0/B72*100)</f>
        <v/>
      </c>
      <c r="D72" s="19" t="n">
        <v>478</v>
      </c>
      <c r="E72" s="18" t="n">
        <v>38.53672196</v>
      </c>
      <c r="F72" s="20" t="n">
        <v>2.30079642</v>
      </c>
      <c r="G72" s="18" t="n">
        <v>61.09466453</v>
      </c>
      <c r="H72" s="20" t="n">
        <v>2.27397783</v>
      </c>
      <c r="I72" s="18" t="s">
        <v>349</v>
      </c>
      <c r="J72" s="20" t="s">
        <v>349</v>
      </c>
      <c r="K72" s="18" t="n">
        <v>0.22597573</v>
      </c>
      <c r="L72" s="20" t="n">
        <v>0.22656799</v>
      </c>
      <c r="M72" s="18" t="n">
        <v>0</v>
      </c>
      <c r="N72" s="20" t="n">
        <v>0</v>
      </c>
      <c r="O72" s="18" t="n">
        <v>0</v>
      </c>
      <c r="P72" s="20" t="n">
        <v>0</v>
      </c>
      <c r="Q72" s="18" t="n">
        <v>0.14263779</v>
      </c>
      <c r="R72" s="20" t="n">
        <v>0.14284111</v>
      </c>
    </row>
    <row r="73" spans="1:18">
      <c r="A73" s="15" t="s">
        <v>415</v>
      </c>
      <c r="B73" s="17" t="n">
        <v>4652</v>
      </c>
      <c r="C73" s="18">
        <f>(4100.0/B73*100)</f>
        <v/>
      </c>
      <c r="D73" s="19" t="n">
        <v>552</v>
      </c>
      <c r="E73" s="18" t="n">
        <v>71.93747985</v>
      </c>
      <c r="F73" s="20" t="n">
        <v>2.58056238</v>
      </c>
      <c r="G73" s="18" t="n">
        <v>26.37712442</v>
      </c>
      <c r="H73" s="20" t="n">
        <v>2.54589085</v>
      </c>
      <c r="I73" s="18" t="s">
        <v>349</v>
      </c>
      <c r="J73" s="20" t="s">
        <v>349</v>
      </c>
      <c r="K73" s="18" t="n">
        <v>0</v>
      </c>
      <c r="L73" s="20" t="n">
        <v>0</v>
      </c>
      <c r="M73" s="18" t="n">
        <v>0</v>
      </c>
      <c r="N73" s="20" t="n">
        <v>0</v>
      </c>
      <c r="O73" s="18" t="n">
        <v>0</v>
      </c>
      <c r="P73" s="20" t="n">
        <v>0</v>
      </c>
      <c r="Q73" s="18" t="n">
        <v>1.68539573</v>
      </c>
      <c r="R73" s="20" t="n">
        <v>0.63501259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(2628.0/B75*100)</f>
        <v/>
      </c>
      <c r="D75" s="19" t="n">
        <v>341</v>
      </c>
      <c r="E75" s="18" t="n">
        <v>71.6096866</v>
      </c>
      <c r="F75" s="20" t="n">
        <v>2.19364373</v>
      </c>
      <c r="G75" s="18" t="n">
        <v>22.78843852</v>
      </c>
      <c r="H75" s="20" t="n">
        <v>2.00186974</v>
      </c>
      <c r="I75" s="18" t="s">
        <v>349</v>
      </c>
      <c r="J75" s="20" t="s">
        <v>349</v>
      </c>
      <c r="K75" s="18" t="n">
        <v>4.09003417</v>
      </c>
      <c r="L75" s="20" t="n">
        <v>1.12352708</v>
      </c>
      <c r="M75" s="18" t="n">
        <v>0</v>
      </c>
      <c r="N75" s="20" t="n">
        <v>0</v>
      </c>
      <c r="O75" s="18" t="n">
        <v>0</v>
      </c>
      <c r="P75" s="20" t="n">
        <v>0</v>
      </c>
      <c r="Q75" s="18" t="n">
        <v>1.51184071</v>
      </c>
      <c r="R75" s="20" t="n">
        <v>0.5960493</v>
      </c>
    </row>
    <row r="76" spans="1:18">
      <c r="A76" s="15" t="s">
        <v>418</v>
      </c>
      <c r="B76" s="17" t="n">
        <v>7115</v>
      </c>
      <c r="C76" s="18">
        <f>(6237.0/B76*100)</f>
        <v/>
      </c>
      <c r="D76" s="19" t="n">
        <v>878</v>
      </c>
      <c r="E76" s="18" t="n">
        <v>67.35901866</v>
      </c>
      <c r="F76" s="20" t="n">
        <v>1.62674679</v>
      </c>
      <c r="G76" s="18" t="n">
        <v>31.00686513</v>
      </c>
      <c r="H76" s="20" t="n">
        <v>1.66748666</v>
      </c>
      <c r="I76" s="18" t="s">
        <v>349</v>
      </c>
      <c r="J76" s="20" t="s">
        <v>349</v>
      </c>
      <c r="K76" s="18" t="n">
        <v>1.02763853</v>
      </c>
      <c r="L76" s="20" t="n">
        <v>0.39330362</v>
      </c>
      <c r="M76" s="18" t="n">
        <v>0</v>
      </c>
      <c r="N76" s="20" t="n">
        <v>0</v>
      </c>
      <c r="O76" s="18" t="n">
        <v>0</v>
      </c>
      <c r="P76" s="20" t="n">
        <v>0</v>
      </c>
      <c r="Q76" s="18" t="n">
        <v>0.60647768</v>
      </c>
      <c r="R76" s="20" t="n">
        <v>0.36391205</v>
      </c>
    </row>
    <row r="77" spans="1:18">
      <c r="A77" s="15" t="s">
        <v>419</v>
      </c>
      <c r="B77" s="17" t="n">
        <v>3154</v>
      </c>
      <c r="C77" s="18">
        <f>(2779.0/B77*100)</f>
        <v/>
      </c>
      <c r="D77" s="19" t="n">
        <v>375</v>
      </c>
      <c r="E77" s="18" t="n">
        <v>75.64692084000001</v>
      </c>
      <c r="F77" s="20" t="n">
        <v>2.53085992</v>
      </c>
      <c r="G77" s="18" t="n">
        <v>19.79720446</v>
      </c>
      <c r="H77" s="20" t="n">
        <v>2.13588854</v>
      </c>
      <c r="I77" s="18" t="s">
        <v>349</v>
      </c>
      <c r="J77" s="20" t="s">
        <v>349</v>
      </c>
      <c r="K77" s="18" t="n">
        <v>0.89976725</v>
      </c>
      <c r="L77" s="20" t="n">
        <v>0.47219925</v>
      </c>
      <c r="M77" s="18" t="n">
        <v>0</v>
      </c>
      <c r="N77" s="20" t="n">
        <v>0</v>
      </c>
      <c r="O77" s="18" t="n">
        <v>0</v>
      </c>
      <c r="P77" s="20" t="n">
        <v>0</v>
      </c>
      <c r="Q77" s="18" t="n">
        <v>3.65610745</v>
      </c>
      <c r="R77" s="20" t="n">
        <v>1.33566133</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(4120.0/B81*100)</f>
        <v/>
      </c>
      <c r="D81" s="19" t="n">
        <v>578</v>
      </c>
      <c r="E81" s="18" t="n">
        <v>69.30565625</v>
      </c>
      <c r="F81" s="20" t="n">
        <v>2.57836094</v>
      </c>
      <c r="G81" s="18" t="n">
        <v>29.72374539</v>
      </c>
      <c r="H81" s="20" t="n">
        <v>2.51611566</v>
      </c>
      <c r="I81" s="18" t="s">
        <v>349</v>
      </c>
      <c r="J81" s="20" t="s">
        <v>349</v>
      </c>
      <c r="K81" s="18" t="n">
        <v>0.2327789</v>
      </c>
      <c r="L81" s="20" t="n">
        <v>0.23217468</v>
      </c>
      <c r="M81" s="18" t="n">
        <v>0</v>
      </c>
      <c r="N81" s="20" t="n">
        <v>0</v>
      </c>
      <c r="O81" s="18" t="n">
        <v>0</v>
      </c>
      <c r="P81" s="20" t="n">
        <v>0</v>
      </c>
      <c r="Q81" s="18" t="n">
        <v>0.73781947</v>
      </c>
      <c r="R81" s="20" t="n">
        <v>0.38872025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(6297.0/B7*100)</f>
        <v/>
      </c>
      <c r="D7" s="19" t="n">
        <v>866</v>
      </c>
      <c r="E7" s="18" t="n">
        <v>19.77549873</v>
      </c>
      <c r="F7" s="20" t="n">
        <v>1.65011764</v>
      </c>
      <c r="G7" s="18" t="n">
        <v>75.15931255</v>
      </c>
      <c r="H7" s="20" t="n">
        <v>1.64181452</v>
      </c>
      <c r="I7" s="18" t="s">
        <v>349</v>
      </c>
      <c r="J7" s="20" t="s">
        <v>349</v>
      </c>
      <c r="K7" s="18" t="n">
        <v>0.58050923</v>
      </c>
      <c r="L7" s="20" t="n">
        <v>0.30456672</v>
      </c>
      <c r="M7" s="18" t="n">
        <v>0</v>
      </c>
      <c r="N7" s="20" t="n">
        <v>0</v>
      </c>
      <c r="O7" s="18" t="n">
        <v>0</v>
      </c>
      <c r="P7" s="20" t="n">
        <v>0</v>
      </c>
      <c r="Q7" s="18" t="n">
        <v>4.48467949</v>
      </c>
      <c r="R7" s="20" t="n">
        <v>0.89687704</v>
      </c>
    </row>
    <row r="8" spans="1:18">
      <c r="A8" s="15" t="s">
        <v>350</v>
      </c>
      <c r="B8" s="17" t="n">
        <v>3443</v>
      </c>
      <c r="C8" s="18">
        <f>(3014.0/B8*100)</f>
        <v/>
      </c>
      <c r="D8" s="19" t="n">
        <v>429</v>
      </c>
      <c r="E8" s="18" t="n">
        <v>23.68332087</v>
      </c>
      <c r="F8" s="20" t="n">
        <v>2.28541104</v>
      </c>
      <c r="G8" s="18" t="n">
        <v>69.91099199999999</v>
      </c>
      <c r="H8" s="20" t="n">
        <v>2.7206176</v>
      </c>
      <c r="I8" s="18" t="s">
        <v>349</v>
      </c>
      <c r="J8" s="20" t="s">
        <v>349</v>
      </c>
      <c r="K8" s="18" t="n">
        <v>0.79942456</v>
      </c>
      <c r="L8" s="20" t="n">
        <v>0.60044665</v>
      </c>
      <c r="M8" s="18" t="n">
        <v>0</v>
      </c>
      <c r="N8" s="20" t="n">
        <v>0</v>
      </c>
      <c r="O8" s="18" t="n">
        <v>0</v>
      </c>
      <c r="P8" s="20" t="n">
        <v>0</v>
      </c>
      <c r="Q8" s="18" t="n">
        <v>5.60626257</v>
      </c>
      <c r="R8" s="20" t="n">
        <v>1.23336972</v>
      </c>
    </row>
    <row r="9" spans="1:18">
      <c r="A9" s="15" t="s">
        <v>351</v>
      </c>
      <c r="B9" s="17" t="n">
        <v>4752</v>
      </c>
      <c r="C9" s="18">
        <f>(4116.0/B9*100)</f>
        <v/>
      </c>
      <c r="D9" s="19" t="n">
        <v>636</v>
      </c>
      <c r="E9" s="18" t="n">
        <v>15.63320168</v>
      </c>
      <c r="F9" s="20" t="n">
        <v>1.58151134</v>
      </c>
      <c r="G9" s="18" t="n">
        <v>73.60081373</v>
      </c>
      <c r="H9" s="20" t="n">
        <v>2.35452954</v>
      </c>
      <c r="I9" s="18" t="s">
        <v>349</v>
      </c>
      <c r="J9" s="20" t="s">
        <v>349</v>
      </c>
      <c r="K9" s="18" t="n">
        <v>5.23583923</v>
      </c>
      <c r="L9" s="20" t="n">
        <v>1.3369019</v>
      </c>
      <c r="M9" s="18" t="n">
        <v>0</v>
      </c>
      <c r="N9" s="20" t="n">
        <v>0</v>
      </c>
      <c r="O9" s="18" t="n">
        <v>0</v>
      </c>
      <c r="P9" s="20" t="n">
        <v>0</v>
      </c>
      <c r="Q9" s="18" t="n">
        <v>5.53014535</v>
      </c>
      <c r="R9" s="20" t="n">
        <v>1.08893834</v>
      </c>
    </row>
    <row r="10" spans="1:18">
      <c r="A10" s="15" t="s">
        <v>352</v>
      </c>
      <c r="B10" s="17" t="n">
        <v>10022</v>
      </c>
      <c r="C10" s="18">
        <f>(8781.0/B10*100)</f>
        <v/>
      </c>
      <c r="D10" s="19" t="n">
        <v>1241</v>
      </c>
      <c r="E10" s="18" t="n">
        <v>20.30207847</v>
      </c>
      <c r="F10" s="20" t="n">
        <v>1.34094834</v>
      </c>
      <c r="G10" s="18" t="n">
        <v>76.05388395</v>
      </c>
      <c r="H10" s="20" t="n">
        <v>1.75655838</v>
      </c>
      <c r="I10" s="18" t="s">
        <v>349</v>
      </c>
      <c r="J10" s="20" t="s">
        <v>349</v>
      </c>
      <c r="K10" s="18" t="n">
        <v>0.26319108</v>
      </c>
      <c r="L10" s="20" t="n">
        <v>0.16275843</v>
      </c>
      <c r="M10" s="18" t="n">
        <v>0</v>
      </c>
      <c r="N10" s="20" t="n">
        <v>0</v>
      </c>
      <c r="O10" s="18" t="n">
        <v>0</v>
      </c>
      <c r="P10" s="20" t="n">
        <v>0</v>
      </c>
      <c r="Q10" s="18" t="n">
        <v>3.38084649</v>
      </c>
      <c r="R10" s="20" t="n">
        <v>0.81307811</v>
      </c>
    </row>
    <row r="11" spans="1:18">
      <c r="A11" s="15" t="s">
        <v>353</v>
      </c>
      <c r="B11" s="17" t="n">
        <v>3500</v>
      </c>
      <c r="C11" s="18">
        <f>(3078.0/B11*100)</f>
        <v/>
      </c>
      <c r="D11" s="19" t="n">
        <v>422</v>
      </c>
      <c r="E11" s="18" t="n">
        <v>42.65447614</v>
      </c>
      <c r="F11" s="20" t="n">
        <v>2.72104633</v>
      </c>
      <c r="G11" s="18" t="n">
        <v>42.12683877</v>
      </c>
      <c r="H11" s="20" t="n">
        <v>2.96213401</v>
      </c>
      <c r="I11" s="18" t="s">
        <v>349</v>
      </c>
      <c r="J11" s="20" t="s">
        <v>349</v>
      </c>
      <c r="K11" s="18" t="n">
        <v>1.19504229</v>
      </c>
      <c r="L11" s="20" t="n">
        <v>0.43641318</v>
      </c>
      <c r="M11" s="18" t="n">
        <v>0</v>
      </c>
      <c r="N11" s="20" t="n">
        <v>0</v>
      </c>
      <c r="O11" s="18" t="n">
        <v>0</v>
      </c>
      <c r="P11" s="20" t="n">
        <v>0</v>
      </c>
      <c r="Q11" s="18" t="n">
        <v>14.02364281</v>
      </c>
      <c r="R11" s="20" t="n">
        <v>1.936006</v>
      </c>
    </row>
    <row r="12" spans="1:18">
      <c r="A12" s="15" t="s">
        <v>354</v>
      </c>
      <c r="B12" s="17" t="n">
        <v>3422</v>
      </c>
      <c r="C12" s="18">
        <f>(2972.0/B12*100)</f>
        <v/>
      </c>
      <c r="D12" s="19" t="n">
        <v>450</v>
      </c>
      <c r="E12" s="18" t="n">
        <v>26.87846018</v>
      </c>
      <c r="F12" s="20" t="n">
        <v>2.75181468</v>
      </c>
      <c r="G12" s="18" t="n">
        <v>60.34921928</v>
      </c>
      <c r="H12" s="20" t="n">
        <v>3.0047924</v>
      </c>
      <c r="I12" s="18" t="s">
        <v>349</v>
      </c>
      <c r="J12" s="20" t="s">
        <v>349</v>
      </c>
      <c r="K12" s="18" t="n">
        <v>4.50126396</v>
      </c>
      <c r="L12" s="20" t="n">
        <v>1.17557976</v>
      </c>
      <c r="M12" s="18" t="n">
        <v>0</v>
      </c>
      <c r="N12" s="20" t="n">
        <v>0</v>
      </c>
      <c r="O12" s="18" t="n">
        <v>0</v>
      </c>
      <c r="P12" s="20" t="n">
        <v>0</v>
      </c>
      <c r="Q12" s="18" t="n">
        <v>8.271056590000001</v>
      </c>
      <c r="R12" s="20" t="n">
        <v>1.54083623</v>
      </c>
    </row>
    <row r="13" spans="1:18">
      <c r="A13" s="15" t="s">
        <v>355</v>
      </c>
      <c r="B13" s="17" t="n">
        <v>3602</v>
      </c>
      <c r="C13" s="18">
        <f>(3054.0/B13*100)</f>
        <v/>
      </c>
      <c r="D13" s="19" t="n">
        <v>548</v>
      </c>
      <c r="E13" s="18" t="n">
        <v>19.83450758</v>
      </c>
      <c r="F13" s="20" t="n">
        <v>1.97936629</v>
      </c>
      <c r="G13" s="18" t="n">
        <v>70.82778510999999</v>
      </c>
      <c r="H13" s="20" t="n">
        <v>2.44597704</v>
      </c>
      <c r="I13" s="18" t="s">
        <v>349</v>
      </c>
      <c r="J13" s="20" t="s">
        <v>349</v>
      </c>
      <c r="K13" s="18" t="n">
        <v>6.84658535</v>
      </c>
      <c r="L13" s="20" t="n">
        <v>1.77289001</v>
      </c>
      <c r="M13" s="18" t="n">
        <v>0</v>
      </c>
      <c r="N13" s="20" t="n">
        <v>0</v>
      </c>
      <c r="O13" s="18" t="n">
        <v>0</v>
      </c>
      <c r="P13" s="20" t="n">
        <v>0</v>
      </c>
      <c r="Q13" s="18" t="n">
        <v>2.49112196</v>
      </c>
      <c r="R13" s="20" t="n">
        <v>0.67853071</v>
      </c>
    </row>
    <row r="14" spans="1:18">
      <c r="A14" s="15" t="s">
        <v>356</v>
      </c>
      <c r="B14" s="17" t="n">
        <v>2788</v>
      </c>
      <c r="C14" s="18">
        <f>(2437.0/B14*100)</f>
        <v/>
      </c>
      <c r="D14" s="19" t="n">
        <v>351</v>
      </c>
      <c r="E14" s="18" t="n">
        <v>14.35393344</v>
      </c>
      <c r="F14" s="20" t="n">
        <v>2.23753763</v>
      </c>
      <c r="G14" s="18" t="n">
        <v>82.95989802</v>
      </c>
      <c r="H14" s="20" t="n">
        <v>2.31805731</v>
      </c>
      <c r="I14" s="18" t="s">
        <v>349</v>
      </c>
      <c r="J14" s="20" t="s">
        <v>349</v>
      </c>
      <c r="K14" s="18" t="n">
        <v>0.24779519</v>
      </c>
      <c r="L14" s="20" t="n">
        <v>0.24745451</v>
      </c>
      <c r="M14" s="18" t="n">
        <v>0</v>
      </c>
      <c r="N14" s="20" t="n">
        <v>0</v>
      </c>
      <c r="O14" s="18" t="n">
        <v>0</v>
      </c>
      <c r="P14" s="20" t="n">
        <v>0</v>
      </c>
      <c r="Q14" s="18" t="n">
        <v>2.43837335</v>
      </c>
      <c r="R14" s="20" t="n">
        <v>1.03055411</v>
      </c>
    </row>
    <row r="15" spans="1:18">
      <c r="A15" s="15" t="s">
        <v>357</v>
      </c>
      <c r="B15" s="17" t="n">
        <v>2863</v>
      </c>
      <c r="C15" s="18">
        <f>(2523.0/B15*100)</f>
        <v/>
      </c>
      <c r="D15" s="19" t="n">
        <v>340</v>
      </c>
      <c r="E15" s="18" t="n">
        <v>18.62294157</v>
      </c>
      <c r="F15" s="20" t="n">
        <v>1.98205991</v>
      </c>
      <c r="G15" s="18" t="n">
        <v>73.93562846</v>
      </c>
      <c r="H15" s="20" t="n">
        <v>3.18203895</v>
      </c>
      <c r="I15" s="18" t="s">
        <v>349</v>
      </c>
      <c r="J15" s="20" t="s">
        <v>349</v>
      </c>
      <c r="K15" s="18" t="n">
        <v>3.3211681</v>
      </c>
      <c r="L15" s="20" t="n">
        <v>2.15387104</v>
      </c>
      <c r="M15" s="18" t="n">
        <v>0</v>
      </c>
      <c r="N15" s="20" t="n">
        <v>0</v>
      </c>
      <c r="O15" s="18" t="n">
        <v>0</v>
      </c>
      <c r="P15" s="20" t="n">
        <v>0</v>
      </c>
      <c r="Q15" s="18" t="n">
        <v>4.12026187</v>
      </c>
      <c r="R15" s="20" t="n">
        <v>1.06932322</v>
      </c>
    </row>
    <row r="16" spans="1:18">
      <c r="A16" s="15" t="s">
        <v>358</v>
      </c>
      <c r="B16" s="17" t="n">
        <v>3111</v>
      </c>
      <c r="C16" s="18">
        <f>(2743.0/B16*100)</f>
        <v/>
      </c>
      <c r="D16" s="19" t="n">
        <v>368</v>
      </c>
      <c r="E16" s="18" t="n">
        <v>12.80982578</v>
      </c>
      <c r="F16" s="20" t="n">
        <v>1.78991741</v>
      </c>
      <c r="G16" s="18" t="n">
        <v>80.44709208</v>
      </c>
      <c r="H16" s="20" t="n">
        <v>2.028189</v>
      </c>
      <c r="I16" s="18" t="s">
        <v>349</v>
      </c>
      <c r="J16" s="20" t="s">
        <v>349</v>
      </c>
      <c r="K16" s="18" t="n">
        <v>0.24603941</v>
      </c>
      <c r="L16" s="20" t="n">
        <v>0.23137224</v>
      </c>
      <c r="M16" s="18" t="n">
        <v>0</v>
      </c>
      <c r="N16" s="20" t="n">
        <v>0</v>
      </c>
      <c r="O16" s="18" t="n">
        <v>0</v>
      </c>
      <c r="P16" s="20" t="n">
        <v>0</v>
      </c>
      <c r="Q16" s="18" t="n">
        <v>6.49704273</v>
      </c>
      <c r="R16" s="20" t="n">
        <v>1.34220615</v>
      </c>
    </row>
    <row r="17" spans="1:18">
      <c r="A17" s="15" t="s">
        <v>359</v>
      </c>
      <c r="B17" s="17" t="n">
        <v>3197</v>
      </c>
      <c r="C17" s="18">
        <f>(2784.0/B17*100)</f>
        <v/>
      </c>
      <c r="D17" s="19" t="n">
        <v>413</v>
      </c>
      <c r="E17" s="18" t="n">
        <v>18.30722445</v>
      </c>
      <c r="F17" s="20" t="n">
        <v>2.06451704</v>
      </c>
      <c r="G17" s="18" t="n">
        <v>68.97445003</v>
      </c>
      <c r="H17" s="20" t="n">
        <v>2.18272216</v>
      </c>
      <c r="I17" s="18" t="s">
        <v>349</v>
      </c>
      <c r="J17" s="20" t="s">
        <v>349</v>
      </c>
      <c r="K17" s="18" t="n">
        <v>6.77263305</v>
      </c>
      <c r="L17" s="20" t="n">
        <v>1.28225698</v>
      </c>
      <c r="M17" s="18" t="n">
        <v>0</v>
      </c>
      <c r="N17" s="20" t="n">
        <v>0</v>
      </c>
      <c r="O17" s="18" t="n">
        <v>0</v>
      </c>
      <c r="P17" s="20" t="n">
        <v>0</v>
      </c>
      <c r="Q17" s="18" t="n">
        <v>5.94569247</v>
      </c>
      <c r="R17" s="20" t="n">
        <v>1.25631159</v>
      </c>
    </row>
    <row r="18" spans="1:18">
      <c r="A18" s="15" t="s">
        <v>360</v>
      </c>
      <c r="B18" s="17" t="n">
        <v>2706</v>
      </c>
      <c r="C18" s="18">
        <f>(2382.0/B18*100)</f>
        <v/>
      </c>
      <c r="D18" s="19" t="n">
        <v>324</v>
      </c>
      <c r="E18" s="18" t="n">
        <v>33.83018607</v>
      </c>
      <c r="F18" s="20" t="n">
        <v>3.28380329</v>
      </c>
      <c r="G18" s="18" t="n">
        <v>59.60134636</v>
      </c>
      <c r="H18" s="20" t="n">
        <v>3.16942686</v>
      </c>
      <c r="I18" s="18" t="s">
        <v>349</v>
      </c>
      <c r="J18" s="20" t="s">
        <v>349</v>
      </c>
      <c r="K18" s="18" t="n">
        <v>0.35737639</v>
      </c>
      <c r="L18" s="20" t="n">
        <v>0.35205864</v>
      </c>
      <c r="M18" s="18" t="n">
        <v>0</v>
      </c>
      <c r="N18" s="20" t="n">
        <v>0</v>
      </c>
      <c r="O18" s="18" t="n">
        <v>0</v>
      </c>
      <c r="P18" s="20" t="n">
        <v>0</v>
      </c>
      <c r="Q18" s="18" t="n">
        <v>6.21109118</v>
      </c>
      <c r="R18" s="20" t="n">
        <v>1.3753389</v>
      </c>
    </row>
    <row r="19" spans="1:18">
      <c r="A19" s="15" t="s">
        <v>361</v>
      </c>
      <c r="B19" s="17" t="n">
        <v>2850</v>
      </c>
      <c r="C19" s="18">
        <f>(2504.0/B19*100)</f>
        <v/>
      </c>
      <c r="D19" s="19" t="n">
        <v>346</v>
      </c>
      <c r="E19" s="18" t="n">
        <v>21.26925163</v>
      </c>
      <c r="F19" s="20" t="n">
        <v>2.72500297</v>
      </c>
      <c r="G19" s="18" t="n">
        <v>73.2078854</v>
      </c>
      <c r="H19" s="20" t="n">
        <v>2.82375438</v>
      </c>
      <c r="I19" s="18" t="s">
        <v>349</v>
      </c>
      <c r="J19" s="20" t="s">
        <v>349</v>
      </c>
      <c r="K19" s="18" t="n">
        <v>0.58044292</v>
      </c>
      <c r="L19" s="20" t="n">
        <v>0.39015111</v>
      </c>
      <c r="M19" s="18" t="n">
        <v>0</v>
      </c>
      <c r="N19" s="20" t="n">
        <v>0</v>
      </c>
      <c r="O19" s="18" t="n">
        <v>0</v>
      </c>
      <c r="P19" s="20" t="n">
        <v>0</v>
      </c>
      <c r="Q19" s="18" t="n">
        <v>4.94242005</v>
      </c>
      <c r="R19" s="20" t="n">
        <v>1.14933647</v>
      </c>
    </row>
    <row r="20" spans="1:18">
      <c r="A20" s="15" t="s">
        <v>362</v>
      </c>
      <c r="B20" s="17" t="n">
        <v>1741</v>
      </c>
      <c r="C20" s="18">
        <f>(1529.0/B20*100)</f>
        <v/>
      </c>
      <c r="D20" s="19" t="n">
        <v>212</v>
      </c>
      <c r="E20" s="18" t="n">
        <v>25.68552742</v>
      </c>
      <c r="F20" s="20" t="n">
        <v>3.37468918</v>
      </c>
      <c r="G20" s="18" t="n">
        <v>66.65004906</v>
      </c>
      <c r="H20" s="20" t="n">
        <v>3.25570389</v>
      </c>
      <c r="I20" s="18" t="s">
        <v>349</v>
      </c>
      <c r="J20" s="20" t="s">
        <v>349</v>
      </c>
      <c r="K20" s="18" t="n">
        <v>0.43804138</v>
      </c>
      <c r="L20" s="20" t="n">
        <v>0.43851755</v>
      </c>
      <c r="M20" s="18" t="n">
        <v>0</v>
      </c>
      <c r="N20" s="20" t="n">
        <v>0</v>
      </c>
      <c r="O20" s="18" t="n">
        <v>0</v>
      </c>
      <c r="P20" s="20" t="n">
        <v>0</v>
      </c>
      <c r="Q20" s="18" t="n">
        <v>7.22638214</v>
      </c>
      <c r="R20" s="20" t="n">
        <v>1.83985639</v>
      </c>
    </row>
    <row r="21" spans="1:18">
      <c r="A21" s="15" t="s">
        <v>363</v>
      </c>
      <c r="B21" s="17" t="n">
        <v>2833</v>
      </c>
      <c r="C21" s="18">
        <f>(2349.0/B21*100)</f>
        <v/>
      </c>
      <c r="D21" s="19" t="n">
        <v>484</v>
      </c>
      <c r="E21" s="18" t="n">
        <v>20.11649049</v>
      </c>
      <c r="F21" s="20" t="n">
        <v>1.71454054</v>
      </c>
      <c r="G21" s="18" t="n">
        <v>75.70316252000001</v>
      </c>
      <c r="H21" s="20" t="n">
        <v>1.95311344</v>
      </c>
      <c r="I21" s="18" t="s">
        <v>349</v>
      </c>
      <c r="J21" s="20" t="s">
        <v>349</v>
      </c>
      <c r="K21" s="18" t="n">
        <v>0.19139709</v>
      </c>
      <c r="L21" s="20" t="n">
        <v>0.19055657</v>
      </c>
      <c r="M21" s="18" t="n">
        <v>0</v>
      </c>
      <c r="N21" s="20" t="n">
        <v>0</v>
      </c>
      <c r="O21" s="18" t="n">
        <v>0</v>
      </c>
      <c r="P21" s="20" t="n">
        <v>0</v>
      </c>
      <c r="Q21" s="18" t="n">
        <v>3.9889499</v>
      </c>
      <c r="R21" s="20" t="n">
        <v>0.95696579</v>
      </c>
    </row>
    <row r="22" spans="1:18">
      <c r="A22" s="15" t="s">
        <v>364</v>
      </c>
      <c r="B22" s="17" t="n">
        <v>3667</v>
      </c>
      <c r="C22" s="18">
        <f>(3185.0/B22*100)</f>
        <v/>
      </c>
      <c r="D22" s="19" t="n">
        <v>482</v>
      </c>
      <c r="E22" s="18" t="n">
        <v>24.85879551</v>
      </c>
      <c r="F22" s="20" t="n">
        <v>2.02194891</v>
      </c>
      <c r="G22" s="18" t="n">
        <v>64.78264590000001</v>
      </c>
      <c r="H22" s="20" t="n">
        <v>2.62627935</v>
      </c>
      <c r="I22" s="18" t="s">
        <v>349</v>
      </c>
      <c r="J22" s="20" t="s">
        <v>349</v>
      </c>
      <c r="K22" s="18" t="n">
        <v>1.90863115</v>
      </c>
      <c r="L22" s="20" t="n">
        <v>0.63568346</v>
      </c>
      <c r="M22" s="18" t="n">
        <v>0</v>
      </c>
      <c r="N22" s="20" t="n">
        <v>0</v>
      </c>
      <c r="O22" s="18" t="n">
        <v>0</v>
      </c>
      <c r="P22" s="20" t="n">
        <v>0</v>
      </c>
      <c r="Q22" s="18" t="n">
        <v>8.449927450000001</v>
      </c>
      <c r="R22" s="20" t="n">
        <v>1.55918908</v>
      </c>
    </row>
    <row r="23" spans="1:18">
      <c r="A23" s="15" t="s">
        <v>365</v>
      </c>
      <c r="B23" s="17" t="n">
        <v>5792</v>
      </c>
      <c r="C23" s="18">
        <f>(5086.0/B23*100)</f>
        <v/>
      </c>
      <c r="D23" s="19" t="n">
        <v>706</v>
      </c>
      <c r="E23" s="18" t="n">
        <v>18.76301883</v>
      </c>
      <c r="F23" s="20" t="n">
        <v>2.25752798</v>
      </c>
      <c r="G23" s="18" t="n">
        <v>70.92572846</v>
      </c>
      <c r="H23" s="20" t="n">
        <v>2.52632215</v>
      </c>
      <c r="I23" s="18" t="s">
        <v>349</v>
      </c>
      <c r="J23" s="20" t="s">
        <v>349</v>
      </c>
      <c r="K23" s="18" t="n">
        <v>1.1178529</v>
      </c>
      <c r="L23" s="20" t="n">
        <v>0.47758424</v>
      </c>
      <c r="M23" s="18" t="n">
        <v>0</v>
      </c>
      <c r="N23" s="20" t="n">
        <v>0</v>
      </c>
      <c r="O23" s="18" t="n">
        <v>0</v>
      </c>
      <c r="P23" s="20" t="n">
        <v>0</v>
      </c>
      <c r="Q23" s="18" t="n">
        <v>9.19339982</v>
      </c>
      <c r="R23" s="20" t="n">
        <v>1.89264729</v>
      </c>
    </row>
    <row r="24" spans="1:18">
      <c r="A24" s="15" t="s">
        <v>366</v>
      </c>
      <c r="B24" s="17" t="n">
        <v>3309</v>
      </c>
      <c r="C24" s="18">
        <f>(2908.0/B24*100)</f>
        <v/>
      </c>
      <c r="D24" s="19" t="n">
        <v>401</v>
      </c>
      <c r="E24" s="18" t="n">
        <v>54.32771393</v>
      </c>
      <c r="F24" s="20" t="n">
        <v>3.08627834</v>
      </c>
      <c r="G24" s="18" t="n">
        <v>41.32678894</v>
      </c>
      <c r="H24" s="20" t="n">
        <v>3.01552521</v>
      </c>
      <c r="I24" s="18" t="s">
        <v>349</v>
      </c>
      <c r="J24" s="20" t="s">
        <v>349</v>
      </c>
      <c r="K24" s="18" t="n">
        <v>0.22455</v>
      </c>
      <c r="L24" s="20" t="n">
        <v>0.26372723</v>
      </c>
      <c r="M24" s="18" t="n">
        <v>0</v>
      </c>
      <c r="N24" s="20" t="n">
        <v>0</v>
      </c>
      <c r="O24" s="18" t="n">
        <v>0</v>
      </c>
      <c r="P24" s="20" t="n">
        <v>0</v>
      </c>
      <c r="Q24" s="18" t="n">
        <v>4.12094713</v>
      </c>
      <c r="R24" s="20" t="n">
        <v>0.90749475</v>
      </c>
    </row>
    <row r="25" spans="1:18">
      <c r="A25" s="15" t="s">
        <v>367</v>
      </c>
      <c r="B25" s="17" t="n">
        <v>2669</v>
      </c>
      <c r="C25" s="18">
        <f>(2338.0/B25*100)</f>
        <v/>
      </c>
      <c r="D25" s="19" t="n">
        <v>331</v>
      </c>
      <c r="E25" s="18" t="n">
        <v>15.7180099</v>
      </c>
      <c r="F25" s="20" t="n">
        <v>2.10807844</v>
      </c>
      <c r="G25" s="18" t="n">
        <v>82.22051235000001</v>
      </c>
      <c r="H25" s="20" t="n">
        <v>2.03566663</v>
      </c>
      <c r="I25" s="18" t="s">
        <v>349</v>
      </c>
      <c r="J25" s="20" t="s">
        <v>349</v>
      </c>
      <c r="K25" s="18" t="n">
        <v>0.54957413</v>
      </c>
      <c r="L25" s="20" t="n">
        <v>0.77541882</v>
      </c>
      <c r="M25" s="18" t="n">
        <v>0</v>
      </c>
      <c r="N25" s="20" t="n">
        <v>0</v>
      </c>
      <c r="O25" s="18" t="n">
        <v>0</v>
      </c>
      <c r="P25" s="20" t="n">
        <v>0</v>
      </c>
      <c r="Q25" s="18" t="n">
        <v>1.51190361</v>
      </c>
      <c r="R25" s="20" t="n">
        <v>0.66014049</v>
      </c>
    </row>
    <row r="26" spans="1:18">
      <c r="A26" s="15" t="s">
        <v>368</v>
      </c>
      <c r="B26" s="17" t="n">
        <v>2419</v>
      </c>
      <c r="C26" s="18">
        <f>(2126.0/B26*100)</f>
        <v/>
      </c>
      <c r="D26" s="19" t="n">
        <v>293</v>
      </c>
      <c r="E26" s="18" t="n">
        <v>62.11269838</v>
      </c>
      <c r="F26" s="20" t="n">
        <v>3.12238712</v>
      </c>
      <c r="G26" s="18" t="n">
        <v>33.04626594</v>
      </c>
      <c r="H26" s="20" t="n">
        <v>3.0742148</v>
      </c>
      <c r="I26" s="18" t="s">
        <v>349</v>
      </c>
      <c r="J26" s="20" t="s">
        <v>349</v>
      </c>
      <c r="K26" s="18" t="n">
        <v>0.63107339</v>
      </c>
      <c r="L26" s="20" t="n">
        <v>0.61182972</v>
      </c>
      <c r="M26" s="18" t="n">
        <v>0</v>
      </c>
      <c r="N26" s="20" t="n">
        <v>0</v>
      </c>
      <c r="O26" s="18" t="n">
        <v>0</v>
      </c>
      <c r="P26" s="20" t="n">
        <v>0</v>
      </c>
      <c r="Q26" s="18" t="n">
        <v>4.20996229</v>
      </c>
      <c r="R26" s="20" t="n">
        <v>1.29633504</v>
      </c>
    </row>
    <row r="27" spans="1:18">
      <c r="A27" s="15" t="s">
        <v>369</v>
      </c>
      <c r="B27" s="17" t="n">
        <v>2683</v>
      </c>
      <c r="C27" s="18">
        <f>(2357.0/B27*100)</f>
        <v/>
      </c>
      <c r="D27" s="19" t="n">
        <v>326</v>
      </c>
      <c r="E27" s="18" t="n">
        <v>27.98146613</v>
      </c>
      <c r="F27" s="20" t="n">
        <v>2.77319116</v>
      </c>
      <c r="G27" s="18" t="n">
        <v>65.70435165000001</v>
      </c>
      <c r="H27" s="20" t="n">
        <v>2.83961364</v>
      </c>
      <c r="I27" s="18" t="s">
        <v>349</v>
      </c>
      <c r="J27" s="20" t="s">
        <v>349</v>
      </c>
      <c r="K27" s="18" t="n">
        <v>0</v>
      </c>
      <c r="L27" s="20" t="n">
        <v>0</v>
      </c>
      <c r="M27" s="18" t="n">
        <v>0</v>
      </c>
      <c r="N27" s="20" t="n">
        <v>0</v>
      </c>
      <c r="O27" s="18" t="n">
        <v>0</v>
      </c>
      <c r="P27" s="20" t="n">
        <v>0</v>
      </c>
      <c r="Q27" s="18" t="n">
        <v>6.31418222</v>
      </c>
      <c r="R27" s="20" t="n">
        <v>1.17707836</v>
      </c>
    </row>
    <row r="28" spans="1:18">
      <c r="A28" s="15" t="s">
        <v>370</v>
      </c>
      <c r="B28" s="17" t="n">
        <v>3803</v>
      </c>
      <c r="C28" s="18">
        <f>(3368.0/B28*100)</f>
        <v/>
      </c>
      <c r="D28" s="19" t="n">
        <v>435</v>
      </c>
      <c r="E28" s="18" t="n">
        <v>48.93255202</v>
      </c>
      <c r="F28" s="20" t="n">
        <v>2.81082749</v>
      </c>
      <c r="G28" s="18" t="n">
        <v>44.65465396</v>
      </c>
      <c r="H28" s="20" t="n">
        <v>2.87007199</v>
      </c>
      <c r="I28" s="18" t="s">
        <v>349</v>
      </c>
      <c r="J28" s="20" t="s">
        <v>349</v>
      </c>
      <c r="K28" s="18" t="n">
        <v>1.05208354</v>
      </c>
      <c r="L28" s="20" t="n">
        <v>0.65779833</v>
      </c>
      <c r="M28" s="18" t="n">
        <v>0</v>
      </c>
      <c r="N28" s="20" t="n">
        <v>0</v>
      </c>
      <c r="O28" s="18" t="n">
        <v>0</v>
      </c>
      <c r="P28" s="20" t="n">
        <v>0</v>
      </c>
      <c r="Q28" s="18" t="n">
        <v>5.36071049</v>
      </c>
      <c r="R28" s="20" t="n">
        <v>1.27891213</v>
      </c>
    </row>
    <row r="29" spans="1:18">
      <c r="A29" s="15" t="s">
        <v>371</v>
      </c>
      <c r="B29" s="17" t="n">
        <v>2700</v>
      </c>
      <c r="C29" s="18">
        <f>(2281.0/B29*100)</f>
        <v/>
      </c>
      <c r="D29" s="19" t="n">
        <v>419</v>
      </c>
      <c r="E29" s="18" t="n">
        <v>21.25049812</v>
      </c>
      <c r="F29" s="20" t="n">
        <v>2.06063781</v>
      </c>
      <c r="G29" s="18" t="n">
        <v>70.27213342</v>
      </c>
      <c r="H29" s="20" t="n">
        <v>2.38294879</v>
      </c>
      <c r="I29" s="18" t="s">
        <v>349</v>
      </c>
      <c r="J29" s="20" t="s">
        <v>349</v>
      </c>
      <c r="K29" s="18" t="n">
        <v>5.00344669</v>
      </c>
      <c r="L29" s="20" t="n">
        <v>1.50248437</v>
      </c>
      <c r="M29" s="18" t="n">
        <v>0</v>
      </c>
      <c r="N29" s="20" t="n">
        <v>0</v>
      </c>
      <c r="O29" s="18" t="n">
        <v>0</v>
      </c>
      <c r="P29" s="20" t="n">
        <v>0</v>
      </c>
      <c r="Q29" s="18" t="n">
        <v>3.47392178</v>
      </c>
      <c r="R29" s="20" t="n">
        <v>0.8103418999999999</v>
      </c>
    </row>
    <row r="30" spans="1:18">
      <c r="A30" s="15" t="s">
        <v>372</v>
      </c>
      <c r="B30" s="17" t="n">
        <v>2257</v>
      </c>
      <c r="C30" s="18">
        <f>(1977.0/B30*100)</f>
        <v/>
      </c>
      <c r="D30" s="19" t="n">
        <v>280</v>
      </c>
      <c r="E30" s="18" t="n">
        <v>22.27256623</v>
      </c>
      <c r="F30" s="20" t="n">
        <v>2.59308076</v>
      </c>
      <c r="G30" s="18" t="n">
        <v>70.49041018</v>
      </c>
      <c r="H30" s="20" t="n">
        <v>2.81218356</v>
      </c>
      <c r="I30" s="18" t="s">
        <v>349</v>
      </c>
      <c r="J30" s="20" t="s">
        <v>349</v>
      </c>
      <c r="K30" s="18" t="n">
        <v>0.47311098</v>
      </c>
      <c r="L30" s="20" t="n">
        <v>0.6351369</v>
      </c>
      <c r="M30" s="18" t="n">
        <v>0</v>
      </c>
      <c r="N30" s="20" t="n">
        <v>0</v>
      </c>
      <c r="O30" s="18" t="n">
        <v>0</v>
      </c>
      <c r="P30" s="20" t="n">
        <v>0</v>
      </c>
      <c r="Q30" s="18" t="n">
        <v>6.76391261</v>
      </c>
      <c r="R30" s="20" t="n">
        <v>1.58948907</v>
      </c>
    </row>
    <row r="31" spans="1:18">
      <c r="A31" s="15" t="s">
        <v>373</v>
      </c>
      <c r="B31" s="17" t="n">
        <v>2706</v>
      </c>
      <c r="C31" s="18">
        <f>(2388.0/B31*100)</f>
        <v/>
      </c>
      <c r="D31" s="19" t="n">
        <v>318</v>
      </c>
      <c r="E31" s="18" t="n">
        <v>45.28048478</v>
      </c>
      <c r="F31" s="20" t="n">
        <v>2.79443364</v>
      </c>
      <c r="G31" s="18" t="n">
        <v>44.29103005</v>
      </c>
      <c r="H31" s="20" t="n">
        <v>2.64545888</v>
      </c>
      <c r="I31" s="18" t="s">
        <v>349</v>
      </c>
      <c r="J31" s="20" t="s">
        <v>349</v>
      </c>
      <c r="K31" s="18" t="n">
        <v>1.73760475</v>
      </c>
      <c r="L31" s="20" t="n">
        <v>0.81701189</v>
      </c>
      <c r="M31" s="18" t="n">
        <v>0</v>
      </c>
      <c r="N31" s="20" t="n">
        <v>0</v>
      </c>
      <c r="O31" s="18" t="n">
        <v>0</v>
      </c>
      <c r="P31" s="20" t="n">
        <v>0</v>
      </c>
      <c r="Q31" s="18" t="n">
        <v>8.690880419999999</v>
      </c>
      <c r="R31" s="20" t="n">
        <v>1.5776112</v>
      </c>
    </row>
    <row r="32" spans="1:18">
      <c r="A32" s="15" t="s">
        <v>374</v>
      </c>
      <c r="B32" s="17" t="n">
        <v>2209</v>
      </c>
      <c r="C32" s="18">
        <f>(1850.0/B32*100)</f>
        <v/>
      </c>
      <c r="D32" s="19" t="n">
        <v>359</v>
      </c>
      <c r="E32" s="18" t="n">
        <v>21.79350022</v>
      </c>
      <c r="F32" s="20" t="n">
        <v>2.17180942</v>
      </c>
      <c r="G32" s="18" t="n">
        <v>72.83449285</v>
      </c>
      <c r="H32" s="20" t="n">
        <v>2.31374179</v>
      </c>
      <c r="I32" s="18" t="s">
        <v>349</v>
      </c>
      <c r="J32" s="20" t="s">
        <v>349</v>
      </c>
      <c r="K32" s="18" t="n">
        <v>0.50368181</v>
      </c>
      <c r="L32" s="20" t="n">
        <v>0.36191483</v>
      </c>
      <c r="M32" s="18" t="n">
        <v>0</v>
      </c>
      <c r="N32" s="20" t="n">
        <v>0</v>
      </c>
      <c r="O32" s="18" t="n">
        <v>0</v>
      </c>
      <c r="P32" s="20" t="n">
        <v>0</v>
      </c>
      <c r="Q32" s="18" t="n">
        <v>4.86832512</v>
      </c>
      <c r="R32" s="20" t="n">
        <v>1.12228195</v>
      </c>
    </row>
    <row r="33" spans="1:18">
      <c r="A33" s="15" t="s">
        <v>375</v>
      </c>
      <c r="B33" s="17" t="n">
        <v>3651</v>
      </c>
      <c r="C33" s="18">
        <f>(3222.0/B33*100)</f>
        <v/>
      </c>
      <c r="D33" s="19" t="n">
        <v>429</v>
      </c>
      <c r="E33" s="18" t="n">
        <v>16.63457002</v>
      </c>
      <c r="F33" s="20" t="n">
        <v>2.42525502</v>
      </c>
      <c r="G33" s="18" t="n">
        <v>81.00174658</v>
      </c>
      <c r="H33" s="20" t="n">
        <v>2.73023941</v>
      </c>
      <c r="I33" s="18" t="s">
        <v>349</v>
      </c>
      <c r="J33" s="20" t="s">
        <v>349</v>
      </c>
      <c r="K33" s="18" t="n">
        <v>0</v>
      </c>
      <c r="L33" s="20" t="n">
        <v>0</v>
      </c>
      <c r="M33" s="18" t="n">
        <v>0</v>
      </c>
      <c r="N33" s="20" t="n">
        <v>0</v>
      </c>
      <c r="O33" s="18" t="n">
        <v>0</v>
      </c>
      <c r="P33" s="20" t="n">
        <v>0</v>
      </c>
      <c r="Q33" s="18" t="n">
        <v>2.3636834</v>
      </c>
      <c r="R33" s="20" t="n">
        <v>0.89786007</v>
      </c>
    </row>
    <row r="34" spans="1:18">
      <c r="A34" s="15" t="s">
        <v>376</v>
      </c>
      <c r="B34" s="17" t="n">
        <v>3035</v>
      </c>
      <c r="C34" s="18">
        <f>(2587.0/B34*100)</f>
        <v/>
      </c>
      <c r="D34" s="19" t="n">
        <v>448</v>
      </c>
      <c r="E34" s="18" t="n">
        <v>34.0967308</v>
      </c>
      <c r="F34" s="20" t="n">
        <v>2.59637412</v>
      </c>
      <c r="G34" s="18" t="n">
        <v>53.3137373</v>
      </c>
      <c r="H34" s="20" t="n">
        <v>2.93573799</v>
      </c>
      <c r="I34" s="18" t="s">
        <v>349</v>
      </c>
      <c r="J34" s="20" t="s">
        <v>349</v>
      </c>
      <c r="K34" s="18" t="n">
        <v>5.11035508</v>
      </c>
      <c r="L34" s="20" t="n">
        <v>1.80307969</v>
      </c>
      <c r="M34" s="18" t="n">
        <v>0</v>
      </c>
      <c r="N34" s="20" t="n">
        <v>0</v>
      </c>
      <c r="O34" s="18" t="n">
        <v>0</v>
      </c>
      <c r="P34" s="20" t="n">
        <v>0</v>
      </c>
      <c r="Q34" s="18" t="n">
        <v>7.47917682</v>
      </c>
      <c r="R34" s="20" t="n">
        <v>1.41099021</v>
      </c>
    </row>
    <row r="35" spans="1:18">
      <c r="A35" s="15" t="s">
        <v>377</v>
      </c>
      <c r="B35" s="17" t="n">
        <v>2901</v>
      </c>
      <c r="C35" s="18">
        <f>(2517.0/B35*100)</f>
        <v/>
      </c>
      <c r="D35" s="19" t="n">
        <v>384</v>
      </c>
      <c r="E35" s="18" t="n">
        <v>20.29536419</v>
      </c>
      <c r="F35" s="20" t="n">
        <v>2.73624352</v>
      </c>
      <c r="G35" s="18" t="n">
        <v>75.50396601999999</v>
      </c>
      <c r="H35" s="20" t="n">
        <v>2.91145113</v>
      </c>
      <c r="I35" s="18" t="s">
        <v>349</v>
      </c>
      <c r="J35" s="20" t="s">
        <v>349</v>
      </c>
      <c r="K35" s="18" t="n">
        <v>1.94808384</v>
      </c>
      <c r="L35" s="20" t="n">
        <v>0.6030356100000001</v>
      </c>
      <c r="M35" s="18" t="n">
        <v>0</v>
      </c>
      <c r="N35" s="20" t="n">
        <v>0</v>
      </c>
      <c r="O35" s="18" t="n">
        <v>0</v>
      </c>
      <c r="P35" s="20" t="n">
        <v>0</v>
      </c>
      <c r="Q35" s="18" t="n">
        <v>2.25258594</v>
      </c>
      <c r="R35" s="20" t="n">
        <v>0.54168982</v>
      </c>
    </row>
    <row r="36" spans="1:18">
      <c r="A36" s="15" t="s">
        <v>378</v>
      </c>
      <c r="B36" s="17" t="n">
        <v>3404</v>
      </c>
      <c r="C36" s="18">
        <f>(2980.0/B36*100)</f>
        <v/>
      </c>
      <c r="D36" s="19" t="n">
        <v>424</v>
      </c>
      <c r="E36" s="18" t="n">
        <v>19.16907382</v>
      </c>
      <c r="F36" s="20" t="n">
        <v>1.9026934</v>
      </c>
      <c r="G36" s="18" t="n">
        <v>74.71091882</v>
      </c>
      <c r="H36" s="20" t="n">
        <v>2.10362071</v>
      </c>
      <c r="I36" s="18" t="s">
        <v>349</v>
      </c>
      <c r="J36" s="20" t="s">
        <v>349</v>
      </c>
      <c r="K36" s="18" t="n">
        <v>0.60393253</v>
      </c>
      <c r="L36" s="20" t="n">
        <v>0.36462573</v>
      </c>
      <c r="M36" s="18" t="n">
        <v>0</v>
      </c>
      <c r="N36" s="20" t="n">
        <v>0</v>
      </c>
      <c r="O36" s="18" t="n">
        <v>0</v>
      </c>
      <c r="P36" s="20" t="n">
        <v>0</v>
      </c>
      <c r="Q36" s="18" t="n">
        <v>5.51607483</v>
      </c>
      <c r="R36" s="20" t="n">
        <v>1.26055977</v>
      </c>
    </row>
    <row r="37" spans="1:18">
      <c r="A37" s="15" t="s">
        <v>379</v>
      </c>
      <c r="B37" s="17" t="n">
        <v>2731</v>
      </c>
      <c r="C37" s="18">
        <f>(2408.0/B37*100)</f>
        <v/>
      </c>
      <c r="D37" s="19" t="n">
        <v>323</v>
      </c>
      <c r="E37" s="18" t="n">
        <v>39.66288881</v>
      </c>
      <c r="F37" s="20" t="n">
        <v>2.29414051</v>
      </c>
      <c r="G37" s="18" t="n">
        <v>47.30379171</v>
      </c>
      <c r="H37" s="20" t="n">
        <v>2.5184297</v>
      </c>
      <c r="I37" s="18" t="s">
        <v>349</v>
      </c>
      <c r="J37" s="20" t="s">
        <v>349</v>
      </c>
      <c r="K37" s="18" t="n">
        <v>1.91288284</v>
      </c>
      <c r="L37" s="20" t="n">
        <v>0.7677642</v>
      </c>
      <c r="M37" s="18" t="n">
        <v>0</v>
      </c>
      <c r="N37" s="20" t="n">
        <v>0</v>
      </c>
      <c r="O37" s="18" t="n">
        <v>0</v>
      </c>
      <c r="P37" s="20" t="n">
        <v>0</v>
      </c>
      <c r="Q37" s="18" t="n">
        <v>11.12043663</v>
      </c>
      <c r="R37" s="20" t="n">
        <v>1.99115173</v>
      </c>
    </row>
    <row r="38" spans="1:18">
      <c r="A38" s="15" t="s">
        <v>380</v>
      </c>
      <c r="B38" s="17" t="n">
        <v>2807</v>
      </c>
      <c r="C38" s="18">
        <f>(2333.0/B38*100)</f>
        <v/>
      </c>
      <c r="D38" s="19" t="n">
        <v>474</v>
      </c>
      <c r="E38" s="18" t="n">
        <v>16.3428776</v>
      </c>
      <c r="F38" s="20" t="n">
        <v>2.13738334</v>
      </c>
      <c r="G38" s="18" t="n">
        <v>49.3731837</v>
      </c>
      <c r="H38" s="20" t="n">
        <v>2.64109456</v>
      </c>
      <c r="I38" s="18" t="s">
        <v>349</v>
      </c>
      <c r="J38" s="20" t="s">
        <v>349</v>
      </c>
      <c r="K38" s="18" t="n">
        <v>0.22740584</v>
      </c>
      <c r="L38" s="20" t="n">
        <v>0.19989524</v>
      </c>
      <c r="M38" s="18" t="n">
        <v>29.34444305</v>
      </c>
      <c r="N38" s="20" t="n">
        <v>2.19465463</v>
      </c>
      <c r="O38" s="18" t="n">
        <v>0</v>
      </c>
      <c r="P38" s="20" t="n">
        <v>0</v>
      </c>
      <c r="Q38" s="18" t="n">
        <v>4.7120898</v>
      </c>
      <c r="R38" s="20" t="n">
        <v>1.24099914</v>
      </c>
    </row>
    <row r="39" spans="1:18">
      <c r="A39" s="15" t="s">
        <v>381</v>
      </c>
      <c r="B39" s="17" t="n">
        <v>2938</v>
      </c>
      <c r="C39" s="18">
        <f>(2570.0/B39*100)</f>
        <v/>
      </c>
      <c r="D39" s="19" t="n">
        <v>368</v>
      </c>
      <c r="E39" s="18" t="n">
        <v>46.78754144</v>
      </c>
      <c r="F39" s="20" t="n">
        <v>2.57801263</v>
      </c>
      <c r="G39" s="18" t="n">
        <v>48.22624473</v>
      </c>
      <c r="H39" s="20" t="n">
        <v>2.88482961</v>
      </c>
      <c r="I39" s="18" t="s">
        <v>349</v>
      </c>
      <c r="J39" s="20" t="s">
        <v>349</v>
      </c>
      <c r="K39" s="18" t="n">
        <v>0</v>
      </c>
      <c r="L39" s="20" t="n">
        <v>0</v>
      </c>
      <c r="M39" s="18" t="n">
        <v>0</v>
      </c>
      <c r="N39" s="20" t="n">
        <v>0</v>
      </c>
      <c r="O39" s="18" t="n">
        <v>0</v>
      </c>
      <c r="P39" s="20" t="n">
        <v>0</v>
      </c>
      <c r="Q39" s="18" t="n">
        <v>4.98621383</v>
      </c>
      <c r="R39" s="20" t="n">
        <v>0.99726708</v>
      </c>
    </row>
    <row r="40" spans="1:18">
      <c r="A40" s="15" t="s">
        <v>382</v>
      </c>
      <c r="B40" s="17" t="n">
        <v>6922</v>
      </c>
      <c r="C40" s="18">
        <f>(6057.0/B40*100)</f>
        <v/>
      </c>
      <c r="D40" s="19" t="n">
        <v>865</v>
      </c>
      <c r="E40" s="18" t="n">
        <v>26.53989348</v>
      </c>
      <c r="F40" s="20" t="n">
        <v>2.350631</v>
      </c>
      <c r="G40" s="18" t="n">
        <v>67.39196149999999</v>
      </c>
      <c r="H40" s="20" t="n">
        <v>2.61476053</v>
      </c>
      <c r="I40" s="18" t="s">
        <v>349</v>
      </c>
      <c r="J40" s="20" t="s">
        <v>349</v>
      </c>
      <c r="K40" s="18" t="n">
        <v>0.93895578</v>
      </c>
      <c r="L40" s="20" t="n">
        <v>0.54479864</v>
      </c>
      <c r="M40" s="18" t="n">
        <v>0</v>
      </c>
      <c r="N40" s="20" t="n">
        <v>0</v>
      </c>
      <c r="O40" s="18" t="n">
        <v>0</v>
      </c>
      <c r="P40" s="20" t="n">
        <v>0</v>
      </c>
      <c r="Q40" s="18" t="n">
        <v>5.12918924</v>
      </c>
      <c r="R40" s="20" t="n">
        <v>1.22269895</v>
      </c>
    </row>
    <row r="41" spans="1:18">
      <c r="A41" s="15" t="s">
        <v>383</v>
      </c>
      <c r="B41" s="17" t="n">
        <v>2854</v>
      </c>
      <c r="C41" s="18">
        <f>(2492.0/B41*100)</f>
        <v/>
      </c>
      <c r="D41" s="19" t="n">
        <v>362</v>
      </c>
      <c r="E41" s="18" t="n">
        <v>32.17235116</v>
      </c>
      <c r="F41" s="20" t="n">
        <v>2.79315793</v>
      </c>
      <c r="G41" s="18" t="n">
        <v>66.93104225</v>
      </c>
      <c r="H41" s="20" t="n">
        <v>2.78352569</v>
      </c>
      <c r="I41" s="18" t="s">
        <v>349</v>
      </c>
      <c r="J41" s="20" t="s">
        <v>349</v>
      </c>
      <c r="K41" s="18" t="n">
        <v>0.24968384</v>
      </c>
      <c r="L41" s="20" t="n">
        <v>0.21285045</v>
      </c>
      <c r="M41" s="18" t="n">
        <v>0</v>
      </c>
      <c r="N41" s="20" t="n">
        <v>0</v>
      </c>
      <c r="O41" s="18" t="n">
        <v>0</v>
      </c>
      <c r="P41" s="20" t="n">
        <v>0</v>
      </c>
      <c r="Q41" s="18" t="n">
        <v>0.64692276</v>
      </c>
      <c r="R41" s="20" t="n">
        <v>0.47608787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(10792.0/B46*100)</f>
        <v/>
      </c>
      <c r="D46" s="19" t="n">
        <v>1281</v>
      </c>
      <c r="E46" s="18" t="n">
        <v>55.8583717</v>
      </c>
      <c r="F46" s="20" t="n">
        <v>1.86608265</v>
      </c>
      <c r="G46" s="18" t="n">
        <v>28.57089822</v>
      </c>
      <c r="H46" s="20" t="n">
        <v>1.68560465</v>
      </c>
      <c r="I46" s="18" t="s">
        <v>349</v>
      </c>
      <c r="J46" s="20" t="s">
        <v>349</v>
      </c>
      <c r="K46" s="18" t="n">
        <v>2.44348884</v>
      </c>
      <c r="L46" s="20" t="n">
        <v>0.41952264</v>
      </c>
      <c r="M46" s="18" t="n">
        <v>0</v>
      </c>
      <c r="N46" s="20" t="n">
        <v>0</v>
      </c>
      <c r="O46" s="18" t="n">
        <v>0</v>
      </c>
      <c r="P46" s="20" t="n">
        <v>0</v>
      </c>
      <c r="Q46" s="18" t="n">
        <v>13.12724125</v>
      </c>
      <c r="R46" s="20" t="n">
        <v>1.00827445</v>
      </c>
    </row>
    <row r="47" spans="1:18">
      <c r="A47" s="15" t="s">
        <v>389</v>
      </c>
      <c r="B47" s="17" t="n">
        <v>2823</v>
      </c>
      <c r="C47" s="18">
        <f>(2477.0/B47*100)</f>
        <v/>
      </c>
      <c r="D47" s="19" t="n">
        <v>346</v>
      </c>
      <c r="E47" s="18" t="n">
        <v>31.15084893</v>
      </c>
      <c r="F47" s="20" t="n">
        <v>2.96877159</v>
      </c>
      <c r="G47" s="18" t="n">
        <v>59.75823949</v>
      </c>
      <c r="H47" s="20" t="n">
        <v>2.78267347</v>
      </c>
      <c r="I47" s="18" t="s">
        <v>349</v>
      </c>
      <c r="J47" s="20" t="s">
        <v>349</v>
      </c>
      <c r="K47" s="18" t="n">
        <v>0</v>
      </c>
      <c r="L47" s="20" t="n">
        <v>0</v>
      </c>
      <c r="M47" s="18" t="n">
        <v>0</v>
      </c>
      <c r="N47" s="20" t="n">
        <v>0</v>
      </c>
      <c r="O47" s="18" t="n">
        <v>0</v>
      </c>
      <c r="P47" s="20" t="n">
        <v>0</v>
      </c>
      <c r="Q47" s="18" t="n">
        <v>9.09091158</v>
      </c>
      <c r="R47" s="20" t="n">
        <v>1.92416911</v>
      </c>
    </row>
    <row r="48" spans="1:18">
      <c r="A48" s="15" t="s">
        <v>390</v>
      </c>
      <c r="B48" s="17" t="n">
        <v>4682</v>
      </c>
      <c r="C48" s="18">
        <f>(4114.0/B48*100)</f>
        <v/>
      </c>
      <c r="D48" s="19" t="n">
        <v>568</v>
      </c>
      <c r="E48" s="18" t="n">
        <v>18.07886592</v>
      </c>
      <c r="F48" s="20" t="n">
        <v>1.93030808</v>
      </c>
      <c r="G48" s="18" t="n">
        <v>78.65755725</v>
      </c>
      <c r="H48" s="20" t="n">
        <v>2.1237334</v>
      </c>
      <c r="I48" s="18" t="s">
        <v>349</v>
      </c>
      <c r="J48" s="20" t="s">
        <v>349</v>
      </c>
      <c r="K48" s="18" t="n">
        <v>0.34763427</v>
      </c>
      <c r="L48" s="20" t="n">
        <v>0.33807802</v>
      </c>
      <c r="M48" s="18" t="n">
        <v>0</v>
      </c>
      <c r="N48" s="20" t="n">
        <v>0</v>
      </c>
      <c r="O48" s="18" t="n">
        <v>0</v>
      </c>
      <c r="P48" s="20" t="n">
        <v>0</v>
      </c>
      <c r="Q48" s="18" t="n">
        <v>2.91594256</v>
      </c>
      <c r="R48" s="20" t="n">
        <v>0.8200272</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(5449.0/B50*100)</f>
        <v/>
      </c>
      <c r="D50" s="19" t="n">
        <v>709</v>
      </c>
      <c r="E50" s="18" t="n">
        <v>57.59072958</v>
      </c>
      <c r="F50" s="20" t="n">
        <v>2.67643807</v>
      </c>
      <c r="G50" s="18" t="n">
        <v>35.4440635</v>
      </c>
      <c r="H50" s="20" t="n">
        <v>2.57947079</v>
      </c>
      <c r="I50" s="18" t="s">
        <v>349</v>
      </c>
      <c r="J50" s="20" t="s">
        <v>349</v>
      </c>
      <c r="K50" s="18" t="n">
        <v>1.57535281</v>
      </c>
      <c r="L50" s="20" t="n">
        <v>0.68335779</v>
      </c>
      <c r="M50" s="18" t="n">
        <v>0</v>
      </c>
      <c r="N50" s="20" t="n">
        <v>0</v>
      </c>
      <c r="O50" s="18" t="n">
        <v>0</v>
      </c>
      <c r="P50" s="20" t="n">
        <v>0</v>
      </c>
      <c r="Q50" s="18" t="n">
        <v>5.38985411</v>
      </c>
      <c r="R50" s="20" t="n">
        <v>1.01566123</v>
      </c>
    </row>
    <row r="51" spans="1:18">
      <c r="A51" s="15" t="s">
        <v>393</v>
      </c>
      <c r="B51" s="17" t="n">
        <v>3494</v>
      </c>
      <c r="C51" s="18">
        <f>(2839.0/B51*100)</f>
        <v/>
      </c>
      <c r="D51" s="19" t="n">
        <v>655</v>
      </c>
      <c r="E51" s="18" t="n">
        <v>33.97009631</v>
      </c>
      <c r="F51" s="20" t="n">
        <v>2.08090704</v>
      </c>
      <c r="G51" s="18" t="n">
        <v>57.06815969</v>
      </c>
      <c r="H51" s="20" t="n">
        <v>2.27540107</v>
      </c>
      <c r="I51" s="18" t="s">
        <v>349</v>
      </c>
      <c r="J51" s="20" t="s">
        <v>349</v>
      </c>
      <c r="K51" s="18" t="n">
        <v>3.39156757</v>
      </c>
      <c r="L51" s="20" t="n">
        <v>0.8968566100000001</v>
      </c>
      <c r="M51" s="18" t="n">
        <v>0</v>
      </c>
      <c r="N51" s="20" t="n">
        <v>0</v>
      </c>
      <c r="O51" s="18" t="n">
        <v>0</v>
      </c>
      <c r="P51" s="20" t="n">
        <v>0</v>
      </c>
      <c r="Q51" s="18" t="n">
        <v>5.57017643</v>
      </c>
      <c r="R51" s="20" t="n">
        <v>1.18067708</v>
      </c>
    </row>
    <row r="52" spans="1:18">
      <c r="A52" s="15" t="s">
        <v>394</v>
      </c>
      <c r="B52" s="17" t="n">
        <v>3013</v>
      </c>
      <c r="C52" s="18">
        <f>(2645.0/B52*100)</f>
        <v/>
      </c>
      <c r="D52" s="19" t="n">
        <v>368</v>
      </c>
      <c r="E52" s="18" t="n">
        <v>24.39951921</v>
      </c>
      <c r="F52" s="20" t="n">
        <v>2.73301864</v>
      </c>
      <c r="G52" s="18" t="n">
        <v>68.86021807</v>
      </c>
      <c r="H52" s="20" t="n">
        <v>2.87111822</v>
      </c>
      <c r="I52" s="18" t="s">
        <v>349</v>
      </c>
      <c r="J52" s="20" t="s">
        <v>349</v>
      </c>
      <c r="K52" s="18" t="n">
        <v>0.68393528</v>
      </c>
      <c r="L52" s="20" t="n">
        <v>0.48370818</v>
      </c>
      <c r="M52" s="18" t="n">
        <v>0</v>
      </c>
      <c r="N52" s="20" t="n">
        <v>0</v>
      </c>
      <c r="O52" s="18" t="n">
        <v>0</v>
      </c>
      <c r="P52" s="20" t="n">
        <v>0</v>
      </c>
      <c r="Q52" s="18" t="n">
        <v>6.05632744</v>
      </c>
      <c r="R52" s="20" t="n">
        <v>1.25081148</v>
      </c>
    </row>
    <row r="53" spans="1:18">
      <c r="A53" s="15" t="s">
        <v>395</v>
      </c>
      <c r="B53" s="17" t="n">
        <v>2760</v>
      </c>
      <c r="C53" s="18">
        <f>(2442.0/B53*100)</f>
        <v/>
      </c>
      <c r="D53" s="19" t="n">
        <v>318</v>
      </c>
      <c r="E53" s="18" t="n">
        <v>26.94022463</v>
      </c>
      <c r="F53" s="20" t="n">
        <v>2.75408571</v>
      </c>
      <c r="G53" s="18" t="n">
        <v>63.58154266</v>
      </c>
      <c r="H53" s="20" t="n">
        <v>2.78290926</v>
      </c>
      <c r="I53" s="18" t="s">
        <v>349</v>
      </c>
      <c r="J53" s="20" t="s">
        <v>349</v>
      </c>
      <c r="K53" s="18" t="n">
        <v>1.80898293</v>
      </c>
      <c r="L53" s="20" t="n">
        <v>0.66818261</v>
      </c>
      <c r="M53" s="18" t="n">
        <v>0</v>
      </c>
      <c r="N53" s="20" t="n">
        <v>0</v>
      </c>
      <c r="O53" s="18" t="n">
        <v>0</v>
      </c>
      <c r="P53" s="20" t="n">
        <v>0</v>
      </c>
      <c r="Q53" s="18" t="n">
        <v>7.66924978</v>
      </c>
      <c r="R53" s="20" t="n">
        <v>1.61885703</v>
      </c>
    </row>
    <row r="54" spans="1:18">
      <c r="A54" s="15" t="s">
        <v>396</v>
      </c>
      <c r="B54" s="17" t="n">
        <v>2474</v>
      </c>
      <c r="C54" s="18">
        <f>(2056.0/B54*100)</f>
        <v/>
      </c>
      <c r="D54" s="19" t="n">
        <v>418</v>
      </c>
      <c r="E54" s="18" t="n">
        <v>69.20579496000001</v>
      </c>
      <c r="F54" s="20" t="n">
        <v>2.27213065</v>
      </c>
      <c r="G54" s="18" t="n">
        <v>11.22300537</v>
      </c>
      <c r="H54" s="20" t="n">
        <v>1.69050477</v>
      </c>
      <c r="I54" s="18" t="s">
        <v>349</v>
      </c>
      <c r="J54" s="20" t="s">
        <v>349</v>
      </c>
      <c r="K54" s="18" t="n">
        <v>4.55655548</v>
      </c>
      <c r="L54" s="20" t="n">
        <v>1.05656844</v>
      </c>
      <c r="M54" s="18" t="n">
        <v>0</v>
      </c>
      <c r="N54" s="20" t="n">
        <v>0</v>
      </c>
      <c r="O54" s="18" t="n">
        <v>0</v>
      </c>
      <c r="P54" s="20" t="n">
        <v>0</v>
      </c>
      <c r="Q54" s="18" t="n">
        <v>15.0146442</v>
      </c>
      <c r="R54" s="20" t="n">
        <v>2.11271033</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(2356.0/B56*100)</f>
        <v/>
      </c>
      <c r="D56" s="19" t="n">
        <v>319</v>
      </c>
      <c r="E56" s="18" t="n">
        <v>12.04426626</v>
      </c>
      <c r="F56" s="20" t="n">
        <v>1.7385442</v>
      </c>
      <c r="G56" s="18" t="n">
        <v>87.69068432</v>
      </c>
      <c r="H56" s="20" t="n">
        <v>1.75345887</v>
      </c>
      <c r="I56" s="18" t="s">
        <v>349</v>
      </c>
      <c r="J56" s="20" t="s">
        <v>349</v>
      </c>
      <c r="K56" s="18" t="n">
        <v>0</v>
      </c>
      <c r="L56" s="20" t="n">
        <v>0</v>
      </c>
      <c r="M56" s="18" t="n">
        <v>0</v>
      </c>
      <c r="N56" s="20" t="n">
        <v>0</v>
      </c>
      <c r="O56" s="18" t="n">
        <v>0</v>
      </c>
      <c r="P56" s="20" t="n">
        <v>0</v>
      </c>
      <c r="Q56" s="18" t="n">
        <v>0.26504942</v>
      </c>
      <c r="R56" s="20" t="n">
        <v>0.24340882</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(2804.0/B61*100)</f>
        <v/>
      </c>
      <c r="D61" s="19" t="n">
        <v>397</v>
      </c>
      <c r="E61" s="18" t="n">
        <v>21.02049374</v>
      </c>
      <c r="F61" s="20" t="n">
        <v>2.15450539</v>
      </c>
      <c r="G61" s="18" t="n">
        <v>75.71037918</v>
      </c>
      <c r="H61" s="20" t="n">
        <v>2.18402364</v>
      </c>
      <c r="I61" s="18" t="s">
        <v>349</v>
      </c>
      <c r="J61" s="20" t="s">
        <v>349</v>
      </c>
      <c r="K61" s="18" t="n">
        <v>0.30360449</v>
      </c>
      <c r="L61" s="20" t="n">
        <v>0.30195508</v>
      </c>
      <c r="M61" s="18" t="n">
        <v>0</v>
      </c>
      <c r="N61" s="20" t="n">
        <v>0</v>
      </c>
      <c r="O61" s="18" t="n">
        <v>0</v>
      </c>
      <c r="P61" s="20" t="n">
        <v>0</v>
      </c>
      <c r="Q61" s="18" t="n">
        <v>2.9655226</v>
      </c>
      <c r="R61" s="20" t="n">
        <v>0.86282746</v>
      </c>
    </row>
    <row r="62" spans="1:18">
      <c r="A62" s="15" t="s">
        <v>404</v>
      </c>
      <c r="B62" s="17" t="n">
        <v>2230</v>
      </c>
      <c r="C62" s="18">
        <f>(1971.0/B62*100)</f>
        <v/>
      </c>
      <c r="D62" s="19" t="n">
        <v>259</v>
      </c>
      <c r="E62" s="18" t="n">
        <v>10.83285788</v>
      </c>
      <c r="F62" s="20" t="n">
        <v>1.79532058</v>
      </c>
      <c r="G62" s="18" t="n">
        <v>88.78355796</v>
      </c>
      <c r="H62" s="20" t="n">
        <v>1.82896228</v>
      </c>
      <c r="I62" s="18" t="s">
        <v>349</v>
      </c>
      <c r="J62" s="20" t="s">
        <v>349</v>
      </c>
      <c r="K62" s="18" t="n">
        <v>0</v>
      </c>
      <c r="L62" s="20" t="n">
        <v>0</v>
      </c>
      <c r="M62" s="18" t="n">
        <v>0</v>
      </c>
      <c r="N62" s="20" t="n">
        <v>0</v>
      </c>
      <c r="O62" s="18" t="n">
        <v>0</v>
      </c>
      <c r="P62" s="20" t="n">
        <v>0</v>
      </c>
      <c r="Q62" s="18" t="n">
        <v>0.38358416</v>
      </c>
      <c r="R62" s="20" t="n">
        <v>0.38167975</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(2432.0/B66*100)</f>
        <v/>
      </c>
      <c r="D66" s="19" t="n">
        <v>339</v>
      </c>
      <c r="E66" s="18" t="n">
        <v>29.56256724</v>
      </c>
      <c r="F66" s="20" t="n">
        <v>2.5648612</v>
      </c>
      <c r="G66" s="18" t="n">
        <v>53.62697838</v>
      </c>
      <c r="H66" s="20" t="n">
        <v>2.56966305</v>
      </c>
      <c r="I66" s="18" t="s">
        <v>349</v>
      </c>
      <c r="J66" s="20" t="s">
        <v>349</v>
      </c>
      <c r="K66" s="18" t="n">
        <v>1.30606035</v>
      </c>
      <c r="L66" s="20" t="n">
        <v>0.6692882</v>
      </c>
      <c r="M66" s="18" t="n">
        <v>0</v>
      </c>
      <c r="N66" s="20" t="n">
        <v>0</v>
      </c>
      <c r="O66" s="18" t="n">
        <v>0</v>
      </c>
      <c r="P66" s="20" t="n">
        <v>0</v>
      </c>
      <c r="Q66" s="18" t="n">
        <v>15.50439403</v>
      </c>
      <c r="R66" s="20" t="n">
        <v>2.07393128</v>
      </c>
    </row>
    <row r="67" spans="1:18">
      <c r="A67" s="15" t="s">
        <v>409</v>
      </c>
      <c r="B67" s="17" t="n">
        <v>3460</v>
      </c>
      <c r="C67" s="18">
        <f>(3060.0/B67*100)</f>
        <v/>
      </c>
      <c r="D67" s="19" t="n">
        <v>400</v>
      </c>
      <c r="E67" s="18" t="n">
        <v>43.81124649</v>
      </c>
      <c r="F67" s="20" t="n">
        <v>2.59704956</v>
      </c>
      <c r="G67" s="18" t="n">
        <v>45.97086656</v>
      </c>
      <c r="H67" s="20" t="n">
        <v>2.7919141</v>
      </c>
      <c r="I67" s="18" t="s">
        <v>349</v>
      </c>
      <c r="J67" s="20" t="s">
        <v>349</v>
      </c>
      <c r="K67" s="18" t="n">
        <v>0.29769233</v>
      </c>
      <c r="L67" s="20" t="n">
        <v>0.29738386</v>
      </c>
      <c r="M67" s="18" t="n">
        <v>0</v>
      </c>
      <c r="N67" s="20" t="n">
        <v>0</v>
      </c>
      <c r="O67" s="18" t="n">
        <v>0</v>
      </c>
      <c r="P67" s="20" t="n">
        <v>0</v>
      </c>
      <c r="Q67" s="18" t="n">
        <v>9.92019462</v>
      </c>
      <c r="R67" s="20" t="n">
        <v>1.66102286</v>
      </c>
    </row>
    <row r="68" spans="1:18">
      <c r="A68" s="15" t="s">
        <v>410</v>
      </c>
      <c r="B68" s="17" t="n">
        <v>6034</v>
      </c>
      <c r="C68" s="18">
        <f>(5046.0/B68*100)</f>
        <v/>
      </c>
      <c r="D68" s="19" t="n">
        <v>988</v>
      </c>
      <c r="E68" s="18" t="n">
        <v>54.89273102</v>
      </c>
      <c r="F68" s="20" t="n">
        <v>1.63264682</v>
      </c>
      <c r="G68" s="18" t="n">
        <v>38.99381542</v>
      </c>
      <c r="H68" s="20" t="n">
        <v>1.57290063</v>
      </c>
      <c r="I68" s="18" t="s">
        <v>349</v>
      </c>
      <c r="J68" s="20" t="s">
        <v>349</v>
      </c>
      <c r="K68" s="18" t="n">
        <v>1.70039436</v>
      </c>
      <c r="L68" s="20" t="n">
        <v>0.41580091</v>
      </c>
      <c r="M68" s="18" t="n">
        <v>0</v>
      </c>
      <c r="N68" s="20" t="n">
        <v>0</v>
      </c>
      <c r="O68" s="18" t="n">
        <v>0</v>
      </c>
      <c r="P68" s="20" t="n">
        <v>0</v>
      </c>
      <c r="Q68" s="18" t="n">
        <v>4.4130592</v>
      </c>
      <c r="R68" s="20" t="n">
        <v>0.61738388</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(2747.0/B70*100)</f>
        <v/>
      </c>
      <c r="D70" s="19" t="n">
        <v>360</v>
      </c>
      <c r="E70" s="18" t="n">
        <v>22.63182563</v>
      </c>
      <c r="F70" s="20" t="n">
        <v>2.49142308</v>
      </c>
      <c r="G70" s="18" t="n">
        <v>73.22863808</v>
      </c>
      <c r="H70" s="20" t="n">
        <v>3.42951791</v>
      </c>
      <c r="I70" s="18" t="s">
        <v>349</v>
      </c>
      <c r="J70" s="20" t="s">
        <v>349</v>
      </c>
      <c r="K70" s="18" t="n">
        <v>0.34083558</v>
      </c>
      <c r="L70" s="20" t="n">
        <v>0.23940659</v>
      </c>
      <c r="M70" s="18" t="n">
        <v>0</v>
      </c>
      <c r="N70" s="20" t="n">
        <v>0</v>
      </c>
      <c r="O70" s="18" t="n">
        <v>0</v>
      </c>
      <c r="P70" s="20" t="n">
        <v>0</v>
      </c>
      <c r="Q70" s="18" t="n">
        <v>3.79870071</v>
      </c>
      <c r="R70" s="20" t="n">
        <v>1.5166667</v>
      </c>
    </row>
    <row r="71" spans="1:18">
      <c r="A71" s="15" t="s">
        <v>413</v>
      </c>
      <c r="B71" s="17" t="n">
        <v>2973</v>
      </c>
      <c r="C71" s="18">
        <f>(2593.0/B71*100)</f>
        <v/>
      </c>
      <c r="D71" s="19" t="n">
        <v>380</v>
      </c>
      <c r="E71" s="18" t="n">
        <v>12.10602782</v>
      </c>
      <c r="F71" s="20" t="n">
        <v>1.53906243</v>
      </c>
      <c r="G71" s="18" t="n">
        <v>87.25444821000001</v>
      </c>
      <c r="H71" s="20" t="n">
        <v>1.58512536</v>
      </c>
      <c r="I71" s="18" t="s">
        <v>349</v>
      </c>
      <c r="J71" s="20" t="s">
        <v>349</v>
      </c>
      <c r="K71" s="18" t="n">
        <v>0.17838742</v>
      </c>
      <c r="L71" s="20" t="n">
        <v>0.17902745</v>
      </c>
      <c r="M71" s="18" t="n">
        <v>0</v>
      </c>
      <c r="N71" s="20" t="n">
        <v>0</v>
      </c>
      <c r="O71" s="18" t="n">
        <v>0</v>
      </c>
      <c r="P71" s="20" t="n">
        <v>0</v>
      </c>
      <c r="Q71" s="18" t="n">
        <v>0.46113654</v>
      </c>
      <c r="R71" s="20" t="n">
        <v>0.34284837</v>
      </c>
    </row>
    <row r="72" spans="1:18">
      <c r="A72" s="15" t="s">
        <v>414</v>
      </c>
      <c r="B72" s="17" t="n">
        <v>3819</v>
      </c>
      <c r="C72" s="18">
        <f>(3341.0/B72*100)</f>
        <v/>
      </c>
      <c r="D72" s="19" t="n">
        <v>478</v>
      </c>
      <c r="E72" s="18" t="n">
        <v>16.73989496</v>
      </c>
      <c r="F72" s="20" t="n">
        <v>1.59266961</v>
      </c>
      <c r="G72" s="18" t="n">
        <v>78.94060066999999</v>
      </c>
      <c r="H72" s="20" t="n">
        <v>1.75017385</v>
      </c>
      <c r="I72" s="18" t="s">
        <v>349</v>
      </c>
      <c r="J72" s="20" t="s">
        <v>349</v>
      </c>
      <c r="K72" s="18" t="n">
        <v>0.22597573</v>
      </c>
      <c r="L72" s="20" t="n">
        <v>0.22656799</v>
      </c>
      <c r="M72" s="18" t="n">
        <v>0</v>
      </c>
      <c r="N72" s="20" t="n">
        <v>0</v>
      </c>
      <c r="O72" s="18" t="n">
        <v>0</v>
      </c>
      <c r="P72" s="20" t="n">
        <v>0</v>
      </c>
      <c r="Q72" s="18" t="n">
        <v>4.09352864</v>
      </c>
      <c r="R72" s="20" t="n">
        <v>0.9947697</v>
      </c>
    </row>
    <row r="73" spans="1:18">
      <c r="A73" s="15" t="s">
        <v>415</v>
      </c>
      <c r="B73" s="17" t="n">
        <v>4652</v>
      </c>
      <c r="C73" s="18">
        <f>(4104.0/B73*100)</f>
        <v/>
      </c>
      <c r="D73" s="19" t="n">
        <v>548</v>
      </c>
      <c r="E73" s="18" t="n">
        <v>54.72845924</v>
      </c>
      <c r="F73" s="20" t="n">
        <v>2.86256794</v>
      </c>
      <c r="G73" s="18" t="n">
        <v>43.61536404</v>
      </c>
      <c r="H73" s="20" t="n">
        <v>2.8778871</v>
      </c>
      <c r="I73" s="18" t="s">
        <v>349</v>
      </c>
      <c r="J73" s="20" t="s">
        <v>349</v>
      </c>
      <c r="K73" s="18" t="n">
        <v>0</v>
      </c>
      <c r="L73" s="20" t="n">
        <v>0</v>
      </c>
      <c r="M73" s="18" t="n">
        <v>0</v>
      </c>
      <c r="N73" s="20" t="n">
        <v>0</v>
      </c>
      <c r="O73" s="18" t="n">
        <v>0</v>
      </c>
      <c r="P73" s="20" t="n">
        <v>0</v>
      </c>
      <c r="Q73" s="18" t="n">
        <v>1.65617672</v>
      </c>
      <c r="R73" s="20" t="n">
        <v>0.64497762</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(2628.0/B75*100)</f>
        <v/>
      </c>
      <c r="D75" s="19" t="n">
        <v>341</v>
      </c>
      <c r="E75" s="18" t="n">
        <v>27.07894226</v>
      </c>
      <c r="F75" s="20" t="n">
        <v>2.66201864</v>
      </c>
      <c r="G75" s="18" t="n">
        <v>58.93695063</v>
      </c>
      <c r="H75" s="20" t="n">
        <v>3.10747037</v>
      </c>
      <c r="I75" s="18" t="s">
        <v>349</v>
      </c>
      <c r="J75" s="20" t="s">
        <v>349</v>
      </c>
      <c r="K75" s="18" t="n">
        <v>4.66297633</v>
      </c>
      <c r="L75" s="20" t="n">
        <v>1.25262703</v>
      </c>
      <c r="M75" s="18" t="n">
        <v>0</v>
      </c>
      <c r="N75" s="20" t="n">
        <v>0</v>
      </c>
      <c r="O75" s="18" t="n">
        <v>0</v>
      </c>
      <c r="P75" s="20" t="n">
        <v>0</v>
      </c>
      <c r="Q75" s="18" t="n">
        <v>9.321130780000001</v>
      </c>
      <c r="R75" s="20" t="n">
        <v>1.61705153</v>
      </c>
    </row>
    <row r="76" spans="1:18">
      <c r="A76" s="15" t="s">
        <v>418</v>
      </c>
      <c r="B76" s="17" t="n">
        <v>7115</v>
      </c>
      <c r="C76" s="18">
        <f>(6237.0/B76*100)</f>
        <v/>
      </c>
      <c r="D76" s="19" t="n">
        <v>878</v>
      </c>
      <c r="E76" s="18" t="n">
        <v>24.30407632</v>
      </c>
      <c r="F76" s="20" t="n">
        <v>1.97502983</v>
      </c>
      <c r="G76" s="18" t="n">
        <v>72.54949421000001</v>
      </c>
      <c r="H76" s="20" t="n">
        <v>2.12615806</v>
      </c>
      <c r="I76" s="18" t="s">
        <v>349</v>
      </c>
      <c r="J76" s="20" t="s">
        <v>349</v>
      </c>
      <c r="K76" s="18" t="n">
        <v>1.06268293</v>
      </c>
      <c r="L76" s="20" t="n">
        <v>0.39452514</v>
      </c>
      <c r="M76" s="18" t="n">
        <v>0</v>
      </c>
      <c r="N76" s="20" t="n">
        <v>0</v>
      </c>
      <c r="O76" s="18" t="n">
        <v>0</v>
      </c>
      <c r="P76" s="20" t="n">
        <v>0</v>
      </c>
      <c r="Q76" s="18" t="n">
        <v>2.08374654</v>
      </c>
      <c r="R76" s="20" t="n">
        <v>0.63098017</v>
      </c>
    </row>
    <row r="77" spans="1:18">
      <c r="A77" s="15" t="s">
        <v>419</v>
      </c>
      <c r="B77" s="17" t="n">
        <v>3154</v>
      </c>
      <c r="C77" s="18">
        <f>(2781.0/B77*100)</f>
        <v/>
      </c>
      <c r="D77" s="19" t="n">
        <v>373</v>
      </c>
      <c r="E77" s="18" t="n">
        <v>34.79469455</v>
      </c>
      <c r="F77" s="20" t="n">
        <v>2.36201954</v>
      </c>
      <c r="G77" s="18" t="n">
        <v>51.44448157</v>
      </c>
      <c r="H77" s="20" t="n">
        <v>2.93602115</v>
      </c>
      <c r="I77" s="18" t="s">
        <v>349</v>
      </c>
      <c r="J77" s="20" t="s">
        <v>349</v>
      </c>
      <c r="K77" s="18" t="n">
        <v>1.33817473</v>
      </c>
      <c r="L77" s="20" t="n">
        <v>0.5598809300000001</v>
      </c>
      <c r="M77" s="18" t="n">
        <v>0</v>
      </c>
      <c r="N77" s="20" t="n">
        <v>0</v>
      </c>
      <c r="O77" s="18" t="n">
        <v>0</v>
      </c>
      <c r="P77" s="20" t="n">
        <v>0</v>
      </c>
      <c r="Q77" s="18" t="n">
        <v>12.42264915</v>
      </c>
      <c r="R77" s="20" t="n">
        <v>1.87551134</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(4121.0/B81*100)</f>
        <v/>
      </c>
      <c r="D81" s="19" t="n">
        <v>577</v>
      </c>
      <c r="E81" s="18" t="n">
        <v>23.53829544</v>
      </c>
      <c r="F81" s="20" t="n">
        <v>2.23657733</v>
      </c>
      <c r="G81" s="18" t="n">
        <v>75.78864582</v>
      </c>
      <c r="H81" s="20" t="n">
        <v>2.24401099</v>
      </c>
      <c r="I81" s="18" t="s">
        <v>349</v>
      </c>
      <c r="J81" s="20" t="s">
        <v>349</v>
      </c>
      <c r="K81" s="18" t="n">
        <v>0.23333845</v>
      </c>
      <c r="L81" s="20" t="n">
        <v>0.23274012</v>
      </c>
      <c r="M81" s="18" t="n">
        <v>0</v>
      </c>
      <c r="N81" s="20" t="n">
        <v>0</v>
      </c>
      <c r="O81" s="18" t="n">
        <v>0</v>
      </c>
      <c r="P81" s="20" t="n">
        <v>0</v>
      </c>
      <c r="Q81" s="18" t="n">
        <v>0.43972028</v>
      </c>
      <c r="R81" s="20" t="n">
        <v>0.31273527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(6302.0/B7*100)</f>
        <v/>
      </c>
      <c r="D7" s="19" t="n">
        <v>861</v>
      </c>
      <c r="E7" s="18" t="n">
        <v>43.21247019</v>
      </c>
      <c r="F7" s="20" t="n">
        <v>1.99396717</v>
      </c>
      <c r="G7" s="18" t="n">
        <v>55.41239243</v>
      </c>
      <c r="H7" s="20" t="n">
        <v>2.00427346</v>
      </c>
      <c r="I7" s="18" t="s">
        <v>349</v>
      </c>
      <c r="J7" s="20" t="s">
        <v>349</v>
      </c>
      <c r="K7" s="18" t="n">
        <v>0.58328262</v>
      </c>
      <c r="L7" s="20" t="n">
        <v>0.30605016</v>
      </c>
      <c r="M7" s="18" t="n">
        <v>0</v>
      </c>
      <c r="N7" s="20" t="n">
        <v>0</v>
      </c>
      <c r="O7" s="18" t="n">
        <v>0</v>
      </c>
      <c r="P7" s="20" t="n">
        <v>0</v>
      </c>
      <c r="Q7" s="18" t="n">
        <v>0.79185476</v>
      </c>
      <c r="R7" s="20" t="n">
        <v>0.35484359</v>
      </c>
    </row>
    <row r="8" spans="1:18">
      <c r="A8" s="15" t="s">
        <v>350</v>
      </c>
      <c r="B8" s="17" t="n">
        <v>3443</v>
      </c>
      <c r="C8" s="18">
        <f>(3021.0/B8*100)</f>
        <v/>
      </c>
      <c r="D8" s="19" t="n">
        <v>422</v>
      </c>
      <c r="E8" s="18" t="n">
        <v>37.88600193</v>
      </c>
      <c r="F8" s="20" t="n">
        <v>2.69088482</v>
      </c>
      <c r="G8" s="18" t="n">
        <v>61.78166285</v>
      </c>
      <c r="H8" s="20" t="n">
        <v>2.66579702</v>
      </c>
      <c r="I8" s="18" t="s">
        <v>349</v>
      </c>
      <c r="J8" s="20" t="s">
        <v>349</v>
      </c>
      <c r="K8" s="18" t="n">
        <v>0</v>
      </c>
      <c r="L8" s="20" t="n">
        <v>0</v>
      </c>
      <c r="M8" s="18" t="n">
        <v>0</v>
      </c>
      <c r="N8" s="20" t="n">
        <v>0</v>
      </c>
      <c r="O8" s="18" t="n">
        <v>0</v>
      </c>
      <c r="P8" s="20" t="n">
        <v>0</v>
      </c>
      <c r="Q8" s="18" t="n">
        <v>0.33233523</v>
      </c>
      <c r="R8" s="20" t="n">
        <v>0.22217416</v>
      </c>
    </row>
    <row r="9" spans="1:18">
      <c r="A9" s="15" t="s">
        <v>351</v>
      </c>
      <c r="B9" s="17" t="n">
        <v>4752</v>
      </c>
      <c r="C9" s="18">
        <f>(4197.0/B9*100)</f>
        <v/>
      </c>
      <c r="D9" s="19" t="n">
        <v>555</v>
      </c>
      <c r="E9" s="18" t="n">
        <v>34.96995678</v>
      </c>
      <c r="F9" s="20" t="n">
        <v>2.07293359</v>
      </c>
      <c r="G9" s="18" t="n">
        <v>63.56239741</v>
      </c>
      <c r="H9" s="20" t="n">
        <v>2.22103122</v>
      </c>
      <c r="I9" s="18" t="s">
        <v>349</v>
      </c>
      <c r="J9" s="20" t="s">
        <v>349</v>
      </c>
      <c r="K9" s="18" t="n">
        <v>0.23641702</v>
      </c>
      <c r="L9" s="20" t="n">
        <v>0.18608024</v>
      </c>
      <c r="M9" s="18" t="n">
        <v>0</v>
      </c>
      <c r="N9" s="20" t="n">
        <v>0</v>
      </c>
      <c r="O9" s="18" t="n">
        <v>0</v>
      </c>
      <c r="P9" s="20" t="n">
        <v>0</v>
      </c>
      <c r="Q9" s="18" t="n">
        <v>1.23122878</v>
      </c>
      <c r="R9" s="20" t="n">
        <v>0.51328946</v>
      </c>
    </row>
    <row r="10" spans="1:18">
      <c r="A10" s="15" t="s">
        <v>352</v>
      </c>
      <c r="B10" s="17" t="n">
        <v>10022</v>
      </c>
      <c r="C10" s="18">
        <f>(8782.0/B10*100)</f>
        <v/>
      </c>
      <c r="D10" s="19" t="n">
        <v>1240</v>
      </c>
      <c r="E10" s="18" t="n">
        <v>41.94572037</v>
      </c>
      <c r="F10" s="20" t="n">
        <v>1.81822534</v>
      </c>
      <c r="G10" s="18" t="n">
        <v>57.13364399</v>
      </c>
      <c r="H10" s="20" t="n">
        <v>1.8174548</v>
      </c>
      <c r="I10" s="18" t="s">
        <v>349</v>
      </c>
      <c r="J10" s="20" t="s">
        <v>349</v>
      </c>
      <c r="K10" s="18" t="n">
        <v>0.55706529</v>
      </c>
      <c r="L10" s="20" t="n">
        <v>0.25732827</v>
      </c>
      <c r="M10" s="18" t="n">
        <v>0</v>
      </c>
      <c r="N10" s="20" t="n">
        <v>0</v>
      </c>
      <c r="O10" s="18" t="n">
        <v>0</v>
      </c>
      <c r="P10" s="20" t="n">
        <v>0</v>
      </c>
      <c r="Q10" s="18" t="n">
        <v>0.36357035</v>
      </c>
      <c r="R10" s="20" t="n">
        <v>0.20664087</v>
      </c>
    </row>
    <row r="11" spans="1:18">
      <c r="A11" s="15" t="s">
        <v>353</v>
      </c>
      <c r="B11" s="17" t="n">
        <v>3500</v>
      </c>
      <c r="C11" s="18">
        <f>(3078.0/B11*100)</f>
        <v/>
      </c>
      <c r="D11" s="19" t="n">
        <v>422</v>
      </c>
      <c r="E11" s="18" t="n">
        <v>50.40088484</v>
      </c>
      <c r="F11" s="20" t="n">
        <v>2.9580548</v>
      </c>
      <c r="G11" s="18" t="n">
        <v>43.78882868</v>
      </c>
      <c r="H11" s="20" t="n">
        <v>2.83521201</v>
      </c>
      <c r="I11" s="18" t="s">
        <v>349</v>
      </c>
      <c r="J11" s="20" t="s">
        <v>349</v>
      </c>
      <c r="K11" s="18" t="n">
        <v>2.18260797</v>
      </c>
      <c r="L11" s="20" t="n">
        <v>0.66666347</v>
      </c>
      <c r="M11" s="18" t="n">
        <v>0</v>
      </c>
      <c r="N11" s="20" t="n">
        <v>0</v>
      </c>
      <c r="O11" s="18" t="n">
        <v>0</v>
      </c>
      <c r="P11" s="20" t="n">
        <v>0</v>
      </c>
      <c r="Q11" s="18" t="n">
        <v>3.62767851</v>
      </c>
      <c r="R11" s="20" t="n">
        <v>1.05307057</v>
      </c>
    </row>
    <row r="12" spans="1:18">
      <c r="A12" s="15" t="s">
        <v>354</v>
      </c>
      <c r="B12" s="17" t="n">
        <v>3422</v>
      </c>
      <c r="C12" s="18">
        <f>(3010.0/B12*100)</f>
        <v/>
      </c>
      <c r="D12" s="19" t="n">
        <v>412</v>
      </c>
      <c r="E12" s="18" t="n">
        <v>33.35563585</v>
      </c>
      <c r="F12" s="20" t="n">
        <v>2.66914435</v>
      </c>
      <c r="G12" s="18" t="n">
        <v>64.57173942</v>
      </c>
      <c r="H12" s="20" t="n">
        <v>2.73092858</v>
      </c>
      <c r="I12" s="18" t="s">
        <v>349</v>
      </c>
      <c r="J12" s="20" t="s">
        <v>349</v>
      </c>
      <c r="K12" s="18" t="n">
        <v>0.50806521</v>
      </c>
      <c r="L12" s="20" t="n">
        <v>0.35984389</v>
      </c>
      <c r="M12" s="18" t="n">
        <v>0</v>
      </c>
      <c r="N12" s="20" t="n">
        <v>0</v>
      </c>
      <c r="O12" s="18" t="n">
        <v>0</v>
      </c>
      <c r="P12" s="20" t="n">
        <v>0</v>
      </c>
      <c r="Q12" s="18" t="n">
        <v>1.56455951</v>
      </c>
      <c r="R12" s="20" t="n">
        <v>0.73426705</v>
      </c>
    </row>
    <row r="13" spans="1:18">
      <c r="A13" s="15" t="s">
        <v>355</v>
      </c>
      <c r="B13" s="17" t="n">
        <v>3602</v>
      </c>
      <c r="C13" s="18">
        <f>(3199.0/B13*100)</f>
        <v/>
      </c>
      <c r="D13" s="19" t="n">
        <v>403</v>
      </c>
      <c r="E13" s="18" t="n">
        <v>26.31377495</v>
      </c>
      <c r="F13" s="20" t="n">
        <v>2.5330981</v>
      </c>
      <c r="G13" s="18" t="n">
        <v>71.22965126</v>
      </c>
      <c r="H13" s="20" t="n">
        <v>2.77530784</v>
      </c>
      <c r="I13" s="18" t="s">
        <v>349</v>
      </c>
      <c r="J13" s="20" t="s">
        <v>349</v>
      </c>
      <c r="K13" s="18" t="n">
        <v>2.45657379</v>
      </c>
      <c r="L13" s="20" t="n">
        <v>1.10650669</v>
      </c>
      <c r="M13" s="18" t="n">
        <v>0</v>
      </c>
      <c r="N13" s="20" t="n">
        <v>0</v>
      </c>
      <c r="O13" s="18" t="n">
        <v>0</v>
      </c>
      <c r="P13" s="20" t="n">
        <v>0</v>
      </c>
      <c r="Q13" s="18" t="n">
        <v>0</v>
      </c>
      <c r="R13" s="20" t="n">
        <v>0</v>
      </c>
    </row>
    <row r="14" spans="1:18">
      <c r="A14" s="15" t="s">
        <v>356</v>
      </c>
      <c r="B14" s="17" t="n">
        <v>2788</v>
      </c>
      <c r="C14" s="18">
        <f>(2440.0/B14*100)</f>
        <v/>
      </c>
      <c r="D14" s="19" t="n">
        <v>348</v>
      </c>
      <c r="E14" s="18" t="n">
        <v>35.187423</v>
      </c>
      <c r="F14" s="20" t="n">
        <v>3.13826087</v>
      </c>
      <c r="G14" s="18" t="n">
        <v>64.56299921999999</v>
      </c>
      <c r="H14" s="20" t="n">
        <v>3.08870304</v>
      </c>
      <c r="I14" s="18" t="s">
        <v>349</v>
      </c>
      <c r="J14" s="20" t="s">
        <v>349</v>
      </c>
      <c r="K14" s="18" t="n">
        <v>0.24957778</v>
      </c>
      <c r="L14" s="20" t="n">
        <v>0.24924768</v>
      </c>
      <c r="M14" s="18" t="n">
        <v>0</v>
      </c>
      <c r="N14" s="20" t="n">
        <v>0</v>
      </c>
      <c r="O14" s="18" t="n">
        <v>0</v>
      </c>
      <c r="P14" s="20" t="n">
        <v>0</v>
      </c>
      <c r="Q14" s="18" t="n">
        <v>0</v>
      </c>
      <c r="R14" s="20" t="n">
        <v>0</v>
      </c>
    </row>
    <row r="15" spans="1:18">
      <c r="A15" s="15" t="s">
        <v>357</v>
      </c>
      <c r="B15" s="17" t="n">
        <v>2863</v>
      </c>
      <c r="C15" s="18">
        <f>(2534.0/B15*100)</f>
        <v/>
      </c>
      <c r="D15" s="19" t="n">
        <v>329</v>
      </c>
      <c r="E15" s="18" t="n">
        <v>36.48379313</v>
      </c>
      <c r="F15" s="20" t="n">
        <v>2.41944985</v>
      </c>
      <c r="G15" s="18" t="n">
        <v>62.53744322</v>
      </c>
      <c r="H15" s="20" t="n">
        <v>2.36985699</v>
      </c>
      <c r="I15" s="18" t="s">
        <v>349</v>
      </c>
      <c r="J15" s="20" t="s">
        <v>349</v>
      </c>
      <c r="K15" s="18" t="n">
        <v>0.29475467</v>
      </c>
      <c r="L15" s="20" t="n">
        <v>0.29583835</v>
      </c>
      <c r="M15" s="18" t="n">
        <v>0</v>
      </c>
      <c r="N15" s="20" t="n">
        <v>0</v>
      </c>
      <c r="O15" s="18" t="n">
        <v>0</v>
      </c>
      <c r="P15" s="20" t="n">
        <v>0</v>
      </c>
      <c r="Q15" s="18" t="n">
        <v>0.68400898</v>
      </c>
      <c r="R15" s="20" t="n">
        <v>0.49193644</v>
      </c>
    </row>
    <row r="16" spans="1:18">
      <c r="A16" s="15" t="s">
        <v>358</v>
      </c>
      <c r="B16" s="17" t="n">
        <v>3111</v>
      </c>
      <c r="C16" s="18">
        <f>(2743.0/B16*100)</f>
        <v/>
      </c>
      <c r="D16" s="19" t="n">
        <v>368</v>
      </c>
      <c r="E16" s="18" t="n">
        <v>41.88786681</v>
      </c>
      <c r="F16" s="20" t="n">
        <v>2.77763824</v>
      </c>
      <c r="G16" s="18" t="n">
        <v>55.93959569</v>
      </c>
      <c r="H16" s="20" t="n">
        <v>2.82447943</v>
      </c>
      <c r="I16" s="18" t="s">
        <v>349</v>
      </c>
      <c r="J16" s="20" t="s">
        <v>349</v>
      </c>
      <c r="K16" s="18" t="n">
        <v>0.83132741</v>
      </c>
      <c r="L16" s="20" t="n">
        <v>0.52649175</v>
      </c>
      <c r="M16" s="18" t="n">
        <v>0</v>
      </c>
      <c r="N16" s="20" t="n">
        <v>0</v>
      </c>
      <c r="O16" s="18" t="n">
        <v>0</v>
      </c>
      <c r="P16" s="20" t="n">
        <v>0</v>
      </c>
      <c r="Q16" s="18" t="n">
        <v>1.34121009</v>
      </c>
      <c r="R16" s="20" t="n">
        <v>0.63467532</v>
      </c>
    </row>
    <row r="17" spans="1:18">
      <c r="A17" s="15" t="s">
        <v>359</v>
      </c>
      <c r="B17" s="17" t="n">
        <v>3197</v>
      </c>
      <c r="C17" s="18">
        <f>(2835.0/B17*100)</f>
        <v/>
      </c>
      <c r="D17" s="19" t="n">
        <v>362</v>
      </c>
      <c r="E17" s="18" t="n">
        <v>46.64041762</v>
      </c>
      <c r="F17" s="20" t="n">
        <v>2.65701906</v>
      </c>
      <c r="G17" s="18" t="n">
        <v>53.18673713</v>
      </c>
      <c r="H17" s="20" t="n">
        <v>2.6781184</v>
      </c>
      <c r="I17" s="18" t="s">
        <v>349</v>
      </c>
      <c r="J17" s="20" t="s">
        <v>349</v>
      </c>
      <c r="K17" s="18" t="n">
        <v>0.17284525</v>
      </c>
      <c r="L17" s="20" t="n">
        <v>0.17363686</v>
      </c>
      <c r="M17" s="18" t="n">
        <v>0</v>
      </c>
      <c r="N17" s="20" t="n">
        <v>0</v>
      </c>
      <c r="O17" s="18" t="n">
        <v>0</v>
      </c>
      <c r="P17" s="20" t="n">
        <v>0</v>
      </c>
      <c r="Q17" s="18" t="n">
        <v>0</v>
      </c>
      <c r="R17" s="20" t="n">
        <v>0</v>
      </c>
    </row>
    <row r="18" spans="1:18">
      <c r="A18" s="15" t="s">
        <v>360</v>
      </c>
      <c r="B18" s="17" t="n">
        <v>2706</v>
      </c>
      <c r="C18" s="18">
        <f>(2381.0/B18*100)</f>
        <v/>
      </c>
      <c r="D18" s="19" t="n">
        <v>325</v>
      </c>
      <c r="E18" s="18" t="n">
        <v>52.51537392</v>
      </c>
      <c r="F18" s="20" t="n">
        <v>3.11284978</v>
      </c>
      <c r="G18" s="18" t="n">
        <v>46.39888456</v>
      </c>
      <c r="H18" s="20" t="n">
        <v>3.10802822</v>
      </c>
      <c r="I18" s="18" t="s">
        <v>349</v>
      </c>
      <c r="J18" s="20" t="s">
        <v>349</v>
      </c>
      <c r="K18" s="18" t="n">
        <v>0.6520818</v>
      </c>
      <c r="L18" s="20" t="n">
        <v>0.45761166</v>
      </c>
      <c r="M18" s="18" t="n">
        <v>0</v>
      </c>
      <c r="N18" s="20" t="n">
        <v>0</v>
      </c>
      <c r="O18" s="18" t="n">
        <v>0</v>
      </c>
      <c r="P18" s="20" t="n">
        <v>0</v>
      </c>
      <c r="Q18" s="18" t="n">
        <v>0.43365972</v>
      </c>
      <c r="R18" s="20" t="n">
        <v>0.31234042</v>
      </c>
    </row>
    <row r="19" spans="1:18">
      <c r="A19" s="15" t="s">
        <v>361</v>
      </c>
      <c r="B19" s="17" t="n">
        <v>2850</v>
      </c>
      <c r="C19" s="18">
        <f>(2504.0/B19*100)</f>
        <v/>
      </c>
      <c r="D19" s="19" t="n">
        <v>346</v>
      </c>
      <c r="E19" s="18" t="n">
        <v>50.36297646</v>
      </c>
      <c r="F19" s="20" t="n">
        <v>2.91960772</v>
      </c>
      <c r="G19" s="18" t="n">
        <v>48.40645093</v>
      </c>
      <c r="H19" s="20" t="n">
        <v>2.98848687</v>
      </c>
      <c r="I19" s="18" t="s">
        <v>349</v>
      </c>
      <c r="J19" s="20" t="s">
        <v>349</v>
      </c>
      <c r="K19" s="18" t="n">
        <v>1.23057262</v>
      </c>
      <c r="L19" s="20" t="n">
        <v>0.73843975</v>
      </c>
      <c r="M19" s="18" t="n">
        <v>0</v>
      </c>
      <c r="N19" s="20" t="n">
        <v>0</v>
      </c>
      <c r="O19" s="18" t="n">
        <v>0</v>
      </c>
      <c r="P19" s="20" t="n">
        <v>0</v>
      </c>
      <c r="Q19" s="18" t="n">
        <v>0</v>
      </c>
      <c r="R19" s="20" t="n">
        <v>0</v>
      </c>
    </row>
    <row r="20" spans="1:18">
      <c r="A20" s="15" t="s">
        <v>362</v>
      </c>
      <c r="B20" s="17" t="n">
        <v>1741</v>
      </c>
      <c r="C20" s="18">
        <f>(1531.0/B20*100)</f>
        <v/>
      </c>
      <c r="D20" s="19" t="n">
        <v>210</v>
      </c>
      <c r="E20" s="18" t="n">
        <v>42.4887981</v>
      </c>
      <c r="F20" s="20" t="n">
        <v>3.72113583</v>
      </c>
      <c r="G20" s="18" t="n">
        <v>55.0044832</v>
      </c>
      <c r="H20" s="20" t="n">
        <v>3.69654013</v>
      </c>
      <c r="I20" s="18" t="s">
        <v>349</v>
      </c>
      <c r="J20" s="20" t="s">
        <v>349</v>
      </c>
      <c r="K20" s="18" t="n">
        <v>0.44265225</v>
      </c>
      <c r="L20" s="20" t="n">
        <v>0.44308669</v>
      </c>
      <c r="M20" s="18" t="n">
        <v>0</v>
      </c>
      <c r="N20" s="20" t="n">
        <v>0</v>
      </c>
      <c r="O20" s="18" t="n">
        <v>0</v>
      </c>
      <c r="P20" s="20" t="n">
        <v>0</v>
      </c>
      <c r="Q20" s="18" t="n">
        <v>2.06406645</v>
      </c>
      <c r="R20" s="20" t="n">
        <v>1.00115438</v>
      </c>
    </row>
    <row r="21" spans="1:18">
      <c r="A21" s="15" t="s">
        <v>363</v>
      </c>
      <c r="B21" s="17" t="n">
        <v>2833</v>
      </c>
      <c r="C21" s="18">
        <f>(2353.0/B21*100)</f>
        <v/>
      </c>
      <c r="D21" s="19" t="n">
        <v>480</v>
      </c>
      <c r="E21" s="18" t="n">
        <v>38.06918552</v>
      </c>
      <c r="F21" s="20" t="n">
        <v>2.47181519</v>
      </c>
      <c r="G21" s="18" t="n">
        <v>60.86361714</v>
      </c>
      <c r="H21" s="20" t="n">
        <v>2.43068284</v>
      </c>
      <c r="I21" s="18" t="s">
        <v>349</v>
      </c>
      <c r="J21" s="20" t="s">
        <v>349</v>
      </c>
      <c r="K21" s="18" t="n">
        <v>0.35307172</v>
      </c>
      <c r="L21" s="20" t="n">
        <v>0.25099339</v>
      </c>
      <c r="M21" s="18" t="n">
        <v>0</v>
      </c>
      <c r="N21" s="20" t="n">
        <v>0</v>
      </c>
      <c r="O21" s="18" t="n">
        <v>0</v>
      </c>
      <c r="P21" s="20" t="n">
        <v>0</v>
      </c>
      <c r="Q21" s="18" t="n">
        <v>0.71412561</v>
      </c>
      <c r="R21" s="20" t="n">
        <v>0.27530771</v>
      </c>
    </row>
    <row r="22" spans="1:18">
      <c r="A22" s="15" t="s">
        <v>364</v>
      </c>
      <c r="B22" s="17" t="n">
        <v>3667</v>
      </c>
      <c r="C22" s="18">
        <f>(3187.0/B22*100)</f>
        <v/>
      </c>
      <c r="D22" s="19" t="n">
        <v>480</v>
      </c>
      <c r="E22" s="18" t="n">
        <v>44.43225451</v>
      </c>
      <c r="F22" s="20" t="n">
        <v>2.5380147</v>
      </c>
      <c r="G22" s="18" t="n">
        <v>51.88880203</v>
      </c>
      <c r="H22" s="20" t="n">
        <v>2.64726499</v>
      </c>
      <c r="I22" s="18" t="s">
        <v>349</v>
      </c>
      <c r="J22" s="20" t="s">
        <v>349</v>
      </c>
      <c r="K22" s="18" t="n">
        <v>2.16490413</v>
      </c>
      <c r="L22" s="20" t="n">
        <v>0.68373563</v>
      </c>
      <c r="M22" s="18" t="n">
        <v>0</v>
      </c>
      <c r="N22" s="20" t="n">
        <v>0</v>
      </c>
      <c r="O22" s="18" t="n">
        <v>0</v>
      </c>
      <c r="P22" s="20" t="n">
        <v>0</v>
      </c>
      <c r="Q22" s="18" t="n">
        <v>1.51403932</v>
      </c>
      <c r="R22" s="20" t="n">
        <v>0.63834426</v>
      </c>
    </row>
    <row r="23" spans="1:18">
      <c r="A23" s="15" t="s">
        <v>365</v>
      </c>
      <c r="B23" s="17" t="n">
        <v>5792</v>
      </c>
      <c r="C23" s="18">
        <f>(5085.0/B23*100)</f>
        <v/>
      </c>
      <c r="D23" s="19" t="n">
        <v>707</v>
      </c>
      <c r="E23" s="18" t="n">
        <v>42.45960131</v>
      </c>
      <c r="F23" s="20" t="n">
        <v>3.17343788</v>
      </c>
      <c r="G23" s="18" t="n">
        <v>55.47813743</v>
      </c>
      <c r="H23" s="20" t="n">
        <v>3.08555659</v>
      </c>
      <c r="I23" s="18" t="s">
        <v>349</v>
      </c>
      <c r="J23" s="20" t="s">
        <v>349</v>
      </c>
      <c r="K23" s="18" t="n">
        <v>1.39993689</v>
      </c>
      <c r="L23" s="20" t="n">
        <v>0.5005441900000001</v>
      </c>
      <c r="M23" s="18" t="n">
        <v>0</v>
      </c>
      <c r="N23" s="20" t="n">
        <v>0</v>
      </c>
      <c r="O23" s="18" t="n">
        <v>0</v>
      </c>
      <c r="P23" s="20" t="n">
        <v>0</v>
      </c>
      <c r="Q23" s="18" t="n">
        <v>0.66232437</v>
      </c>
      <c r="R23" s="20" t="n">
        <v>0.4978987</v>
      </c>
    </row>
    <row r="24" spans="1:18">
      <c r="A24" s="15" t="s">
        <v>366</v>
      </c>
      <c r="B24" s="17" t="n">
        <v>3309</v>
      </c>
      <c r="C24" s="18">
        <f>(2908.0/B24*100)</f>
        <v/>
      </c>
      <c r="D24" s="19" t="n">
        <v>401</v>
      </c>
      <c r="E24" s="18" t="n">
        <v>44.05618754</v>
      </c>
      <c r="F24" s="20" t="n">
        <v>2.54115984</v>
      </c>
      <c r="G24" s="18" t="n">
        <v>55.71926245</v>
      </c>
      <c r="H24" s="20" t="n">
        <v>2.57542461</v>
      </c>
      <c r="I24" s="18" t="s">
        <v>349</v>
      </c>
      <c r="J24" s="20" t="s">
        <v>349</v>
      </c>
      <c r="K24" s="18" t="n">
        <v>0.22455</v>
      </c>
      <c r="L24" s="20" t="n">
        <v>0.26372723</v>
      </c>
      <c r="M24" s="18" t="n">
        <v>0</v>
      </c>
      <c r="N24" s="20" t="n">
        <v>0</v>
      </c>
      <c r="O24" s="18" t="n">
        <v>0</v>
      </c>
      <c r="P24" s="20" t="n">
        <v>0</v>
      </c>
      <c r="Q24" s="18" t="n">
        <v>0</v>
      </c>
      <c r="R24" s="20" t="n">
        <v>0</v>
      </c>
    </row>
    <row r="25" spans="1:18">
      <c r="A25" s="15" t="s">
        <v>367</v>
      </c>
      <c r="B25" s="17" t="n">
        <v>2669</v>
      </c>
      <c r="C25" s="18">
        <f>(2338.0/B25*100)</f>
        <v/>
      </c>
      <c r="D25" s="19" t="n">
        <v>331</v>
      </c>
      <c r="E25" s="18" t="n">
        <v>44.76307958</v>
      </c>
      <c r="F25" s="20" t="n">
        <v>3.36274844</v>
      </c>
      <c r="G25" s="18" t="n">
        <v>53.91511944</v>
      </c>
      <c r="H25" s="20" t="n">
        <v>3.33078663</v>
      </c>
      <c r="I25" s="18" t="s">
        <v>349</v>
      </c>
      <c r="J25" s="20" t="s">
        <v>349</v>
      </c>
      <c r="K25" s="18" t="n">
        <v>0.54957413</v>
      </c>
      <c r="L25" s="20" t="n">
        <v>0.77541882</v>
      </c>
      <c r="M25" s="18" t="n">
        <v>0</v>
      </c>
      <c r="N25" s="20" t="n">
        <v>0</v>
      </c>
      <c r="O25" s="18" t="n">
        <v>0</v>
      </c>
      <c r="P25" s="20" t="n">
        <v>0</v>
      </c>
      <c r="Q25" s="18" t="n">
        <v>0.77222684</v>
      </c>
      <c r="R25" s="20" t="n">
        <v>0.42058324</v>
      </c>
    </row>
    <row r="26" spans="1:18">
      <c r="A26" s="15" t="s">
        <v>368</v>
      </c>
      <c r="B26" s="17" t="n">
        <v>2419</v>
      </c>
      <c r="C26" s="18">
        <f>(2126.0/B26*100)</f>
        <v/>
      </c>
      <c r="D26" s="19" t="n">
        <v>293</v>
      </c>
      <c r="E26" s="18" t="n">
        <v>44.24119846</v>
      </c>
      <c r="F26" s="20" t="n">
        <v>2.79122568</v>
      </c>
      <c r="G26" s="18" t="n">
        <v>55.12772816</v>
      </c>
      <c r="H26" s="20" t="n">
        <v>2.77774953</v>
      </c>
      <c r="I26" s="18" t="s">
        <v>349</v>
      </c>
      <c r="J26" s="20" t="s">
        <v>349</v>
      </c>
      <c r="K26" s="18" t="n">
        <v>0.63107339</v>
      </c>
      <c r="L26" s="20" t="n">
        <v>0.61182972</v>
      </c>
      <c r="M26" s="18" t="n">
        <v>0</v>
      </c>
      <c r="N26" s="20" t="n">
        <v>0</v>
      </c>
      <c r="O26" s="18" t="n">
        <v>0</v>
      </c>
      <c r="P26" s="20" t="n">
        <v>0</v>
      </c>
      <c r="Q26" s="18" t="n">
        <v>0</v>
      </c>
      <c r="R26" s="20" t="n">
        <v>0</v>
      </c>
    </row>
    <row r="27" spans="1:18">
      <c r="A27" s="15" t="s">
        <v>369</v>
      </c>
      <c r="B27" s="17" t="n">
        <v>2683</v>
      </c>
      <c r="C27" s="18">
        <f>(2357.0/B27*100)</f>
        <v/>
      </c>
      <c r="D27" s="19" t="n">
        <v>326</v>
      </c>
      <c r="E27" s="18" t="n">
        <v>43.46091873</v>
      </c>
      <c r="F27" s="20" t="n">
        <v>3.07093977</v>
      </c>
      <c r="G27" s="18" t="n">
        <v>55.60017386</v>
      </c>
      <c r="H27" s="20" t="n">
        <v>3.07634163</v>
      </c>
      <c r="I27" s="18" t="s">
        <v>349</v>
      </c>
      <c r="J27" s="20" t="s">
        <v>349</v>
      </c>
      <c r="K27" s="18" t="n">
        <v>0</v>
      </c>
      <c r="L27" s="20" t="n">
        <v>0</v>
      </c>
      <c r="M27" s="18" t="n">
        <v>0</v>
      </c>
      <c r="N27" s="20" t="n">
        <v>0</v>
      </c>
      <c r="O27" s="18" t="n">
        <v>0</v>
      </c>
      <c r="P27" s="20" t="n">
        <v>0</v>
      </c>
      <c r="Q27" s="18" t="n">
        <v>0.93890741</v>
      </c>
      <c r="R27" s="20" t="n">
        <v>0.52992977</v>
      </c>
    </row>
    <row r="28" spans="1:18">
      <c r="A28" s="15" t="s">
        <v>370</v>
      </c>
      <c r="B28" s="17" t="n">
        <v>3803</v>
      </c>
      <c r="C28" s="18">
        <f>(3381.0/B28*100)</f>
        <v/>
      </c>
      <c r="D28" s="19" t="n">
        <v>422</v>
      </c>
      <c r="E28" s="18" t="n">
        <v>56.30496466</v>
      </c>
      <c r="F28" s="20" t="n">
        <v>3.00272033</v>
      </c>
      <c r="G28" s="18" t="n">
        <v>42.074836</v>
      </c>
      <c r="H28" s="20" t="n">
        <v>2.9567441</v>
      </c>
      <c r="I28" s="18" t="s">
        <v>349</v>
      </c>
      <c r="J28" s="20" t="s">
        <v>349</v>
      </c>
      <c r="K28" s="18" t="n">
        <v>1.09279338</v>
      </c>
      <c r="L28" s="20" t="n">
        <v>0.68641771</v>
      </c>
      <c r="M28" s="18" t="n">
        <v>0</v>
      </c>
      <c r="N28" s="20" t="n">
        <v>0</v>
      </c>
      <c r="O28" s="18" t="n">
        <v>0</v>
      </c>
      <c r="P28" s="20" t="n">
        <v>0</v>
      </c>
      <c r="Q28" s="18" t="n">
        <v>0.52740595</v>
      </c>
      <c r="R28" s="20" t="n">
        <v>0.3903364</v>
      </c>
    </row>
    <row r="29" spans="1:18">
      <c r="A29" s="15" t="s">
        <v>371</v>
      </c>
      <c r="B29" s="17" t="n">
        <v>2700</v>
      </c>
      <c r="C29" s="18">
        <f>(2327.0/B29*100)</f>
        <v/>
      </c>
      <c r="D29" s="19" t="n">
        <v>373</v>
      </c>
      <c r="E29" s="18" t="n">
        <v>26.20010825</v>
      </c>
      <c r="F29" s="20" t="n">
        <v>2.50787206</v>
      </c>
      <c r="G29" s="18" t="n">
        <v>72.92165282000001</v>
      </c>
      <c r="H29" s="20" t="n">
        <v>2.49098116</v>
      </c>
      <c r="I29" s="18" t="s">
        <v>349</v>
      </c>
      <c r="J29" s="20" t="s">
        <v>349</v>
      </c>
      <c r="K29" s="18" t="n">
        <v>0.87823892</v>
      </c>
      <c r="L29" s="20" t="n">
        <v>0.44433897</v>
      </c>
      <c r="M29" s="18" t="n">
        <v>0</v>
      </c>
      <c r="N29" s="20" t="n">
        <v>0</v>
      </c>
      <c r="O29" s="18" t="n">
        <v>0</v>
      </c>
      <c r="P29" s="20" t="n">
        <v>0</v>
      </c>
      <c r="Q29" s="18" t="n">
        <v>0</v>
      </c>
      <c r="R29" s="20" t="n">
        <v>0</v>
      </c>
    </row>
    <row r="30" spans="1:18">
      <c r="A30" s="15" t="s">
        <v>372</v>
      </c>
      <c r="B30" s="17" t="n">
        <v>2257</v>
      </c>
      <c r="C30" s="18">
        <f>(1980.0/B30*100)</f>
        <v/>
      </c>
      <c r="D30" s="19" t="n">
        <v>277</v>
      </c>
      <c r="E30" s="18" t="n">
        <v>42.18358554</v>
      </c>
      <c r="F30" s="20" t="n">
        <v>2.8714777</v>
      </c>
      <c r="G30" s="18" t="n">
        <v>56.06527799</v>
      </c>
      <c r="H30" s="20" t="n">
        <v>2.9346712</v>
      </c>
      <c r="I30" s="18" t="s">
        <v>349</v>
      </c>
      <c r="J30" s="20" t="s">
        <v>349</v>
      </c>
      <c r="K30" s="18" t="n">
        <v>0.8132873</v>
      </c>
      <c r="L30" s="20" t="n">
        <v>0.73548423</v>
      </c>
      <c r="M30" s="18" t="n">
        <v>0</v>
      </c>
      <c r="N30" s="20" t="n">
        <v>0</v>
      </c>
      <c r="O30" s="18" t="n">
        <v>0</v>
      </c>
      <c r="P30" s="20" t="n">
        <v>0</v>
      </c>
      <c r="Q30" s="18" t="n">
        <v>0.93784917</v>
      </c>
      <c r="R30" s="20" t="n">
        <v>0.70418731</v>
      </c>
    </row>
    <row r="31" spans="1:18">
      <c r="A31" s="15" t="s">
        <v>373</v>
      </c>
      <c r="B31" s="17" t="n">
        <v>2706</v>
      </c>
      <c r="C31" s="18">
        <f>(2392.0/B31*100)</f>
        <v/>
      </c>
      <c r="D31" s="19" t="n">
        <v>314</v>
      </c>
      <c r="E31" s="18" t="n">
        <v>37.22666026</v>
      </c>
      <c r="F31" s="20" t="n">
        <v>2.87217049</v>
      </c>
      <c r="G31" s="18" t="n">
        <v>60.36733667</v>
      </c>
      <c r="H31" s="20" t="n">
        <v>2.87399228</v>
      </c>
      <c r="I31" s="18" t="s">
        <v>349</v>
      </c>
      <c r="J31" s="20" t="s">
        <v>349</v>
      </c>
      <c r="K31" s="18" t="n">
        <v>2.40600307</v>
      </c>
      <c r="L31" s="20" t="n">
        <v>0.96756469</v>
      </c>
      <c r="M31" s="18" t="n">
        <v>0</v>
      </c>
      <c r="N31" s="20" t="n">
        <v>0</v>
      </c>
      <c r="O31" s="18" t="n">
        <v>0</v>
      </c>
      <c r="P31" s="20" t="n">
        <v>0</v>
      </c>
      <c r="Q31" s="18" t="n">
        <v>0</v>
      </c>
      <c r="R31" s="20" t="n">
        <v>0</v>
      </c>
    </row>
    <row r="32" spans="1:18">
      <c r="A32" s="15" t="s">
        <v>374</v>
      </c>
      <c r="B32" s="17" t="n">
        <v>2209</v>
      </c>
      <c r="C32" s="18">
        <f>(1850.0/B32*100)</f>
        <v/>
      </c>
      <c r="D32" s="19" t="n">
        <v>359</v>
      </c>
      <c r="E32" s="18" t="n">
        <v>39.24260643</v>
      </c>
      <c r="F32" s="20" t="n">
        <v>2.92048223</v>
      </c>
      <c r="G32" s="18" t="n">
        <v>59.75081971</v>
      </c>
      <c r="H32" s="20" t="n">
        <v>2.97619947</v>
      </c>
      <c r="I32" s="18" t="s">
        <v>349</v>
      </c>
      <c r="J32" s="20" t="s">
        <v>349</v>
      </c>
      <c r="K32" s="18" t="n">
        <v>0.77644616</v>
      </c>
      <c r="L32" s="20" t="n">
        <v>0.44438375</v>
      </c>
      <c r="M32" s="18" t="n">
        <v>0</v>
      </c>
      <c r="N32" s="20" t="n">
        <v>0</v>
      </c>
      <c r="O32" s="18" t="n">
        <v>0</v>
      </c>
      <c r="P32" s="20" t="n">
        <v>0</v>
      </c>
      <c r="Q32" s="18" t="n">
        <v>0.2301277</v>
      </c>
      <c r="R32" s="20" t="n">
        <v>0.22991907</v>
      </c>
    </row>
    <row r="33" spans="1:18">
      <c r="A33" s="15" t="s">
        <v>375</v>
      </c>
      <c r="B33" s="17" t="n">
        <v>3651</v>
      </c>
      <c r="C33" s="18">
        <f>(3223.0/B33*100)</f>
        <v/>
      </c>
      <c r="D33" s="19" t="n">
        <v>428</v>
      </c>
      <c r="E33" s="18" t="n">
        <v>51.235661</v>
      </c>
      <c r="F33" s="20" t="n">
        <v>3.16036992</v>
      </c>
      <c r="G33" s="18" t="n">
        <v>48.74499093</v>
      </c>
      <c r="H33" s="20" t="n">
        <v>3.16060803</v>
      </c>
      <c r="I33" s="18" t="s">
        <v>349</v>
      </c>
      <c r="J33" s="20" t="s">
        <v>349</v>
      </c>
      <c r="K33" s="18" t="n">
        <v>0.01934807</v>
      </c>
      <c r="L33" s="20" t="n">
        <v>0.01906455</v>
      </c>
      <c r="M33" s="18" t="n">
        <v>0</v>
      </c>
      <c r="N33" s="20" t="n">
        <v>0</v>
      </c>
      <c r="O33" s="18" t="n">
        <v>0</v>
      </c>
      <c r="P33" s="20" t="n">
        <v>0</v>
      </c>
      <c r="Q33" s="18" t="n">
        <v>0</v>
      </c>
      <c r="R33" s="20" t="n">
        <v>0</v>
      </c>
    </row>
    <row r="34" spans="1:18">
      <c r="A34" s="15" t="s">
        <v>376</v>
      </c>
      <c r="B34" s="17" t="n">
        <v>3035</v>
      </c>
      <c r="C34" s="18">
        <f>(2655.0/B34*100)</f>
        <v/>
      </c>
      <c r="D34" s="19" t="n">
        <v>380</v>
      </c>
      <c r="E34" s="18" t="n">
        <v>38.95830077</v>
      </c>
      <c r="F34" s="20" t="n">
        <v>2.58267563</v>
      </c>
      <c r="G34" s="18" t="n">
        <v>59.77461994</v>
      </c>
      <c r="H34" s="20" t="n">
        <v>2.6566967</v>
      </c>
      <c r="I34" s="18" t="s">
        <v>349</v>
      </c>
      <c r="J34" s="20" t="s">
        <v>349</v>
      </c>
      <c r="K34" s="18" t="n">
        <v>0.51830948</v>
      </c>
      <c r="L34" s="20" t="n">
        <v>0.36996875</v>
      </c>
      <c r="M34" s="18" t="n">
        <v>0</v>
      </c>
      <c r="N34" s="20" t="n">
        <v>0</v>
      </c>
      <c r="O34" s="18" t="n">
        <v>0</v>
      </c>
      <c r="P34" s="20" t="n">
        <v>0</v>
      </c>
      <c r="Q34" s="18" t="n">
        <v>0.74876981</v>
      </c>
      <c r="R34" s="20" t="n">
        <v>0.43969724</v>
      </c>
    </row>
    <row r="35" spans="1:18">
      <c r="A35" s="15" t="s">
        <v>377</v>
      </c>
      <c r="B35" s="17" t="n">
        <v>2901</v>
      </c>
      <c r="C35" s="18">
        <f>(2552.0/B35*100)</f>
        <v/>
      </c>
      <c r="D35" s="19" t="n">
        <v>349</v>
      </c>
      <c r="E35" s="18" t="n">
        <v>34.58346334</v>
      </c>
      <c r="F35" s="20" t="n">
        <v>2.94497191</v>
      </c>
      <c r="G35" s="18" t="n">
        <v>64.63895312</v>
      </c>
      <c r="H35" s="20" t="n">
        <v>2.98611172</v>
      </c>
      <c r="I35" s="18" t="s">
        <v>349</v>
      </c>
      <c r="J35" s="20" t="s">
        <v>349</v>
      </c>
      <c r="K35" s="18" t="n">
        <v>0.44151118</v>
      </c>
      <c r="L35" s="20" t="n">
        <v>0.45154425</v>
      </c>
      <c r="M35" s="18" t="n">
        <v>0</v>
      </c>
      <c r="N35" s="20" t="n">
        <v>0</v>
      </c>
      <c r="O35" s="18" t="n">
        <v>0</v>
      </c>
      <c r="P35" s="20" t="n">
        <v>0</v>
      </c>
      <c r="Q35" s="18" t="n">
        <v>0.33607235</v>
      </c>
      <c r="R35" s="20" t="n">
        <v>0.24906028</v>
      </c>
    </row>
    <row r="36" spans="1:18">
      <c r="A36" s="15" t="s">
        <v>378</v>
      </c>
      <c r="B36" s="17" t="n">
        <v>3404</v>
      </c>
      <c r="C36" s="18">
        <f>(2983.0/B36*100)</f>
        <v/>
      </c>
      <c r="D36" s="19" t="n">
        <v>421</v>
      </c>
      <c r="E36" s="18" t="n">
        <v>43.4416615</v>
      </c>
      <c r="F36" s="20" t="n">
        <v>2.29654794</v>
      </c>
      <c r="G36" s="18" t="n">
        <v>55.94928558</v>
      </c>
      <c r="H36" s="20" t="n">
        <v>2.2227003</v>
      </c>
      <c r="I36" s="18" t="s">
        <v>349</v>
      </c>
      <c r="J36" s="20" t="s">
        <v>349</v>
      </c>
      <c r="K36" s="18" t="n">
        <v>0.60905292</v>
      </c>
      <c r="L36" s="20" t="n">
        <v>0.36783717</v>
      </c>
      <c r="M36" s="18" t="n">
        <v>0</v>
      </c>
      <c r="N36" s="20" t="n">
        <v>0</v>
      </c>
      <c r="O36" s="18" t="n">
        <v>0</v>
      </c>
      <c r="P36" s="20" t="n">
        <v>0</v>
      </c>
      <c r="Q36" s="18" t="n">
        <v>0</v>
      </c>
      <c r="R36" s="20" t="n">
        <v>0</v>
      </c>
    </row>
    <row r="37" spans="1:18">
      <c r="A37" s="15" t="s">
        <v>379</v>
      </c>
      <c r="B37" s="17" t="n">
        <v>2731</v>
      </c>
      <c r="C37" s="18">
        <f>(2412.0/B37*100)</f>
        <v/>
      </c>
      <c r="D37" s="19" t="n">
        <v>319</v>
      </c>
      <c r="E37" s="18" t="n">
        <v>38.80558302</v>
      </c>
      <c r="F37" s="20" t="n">
        <v>2.7892028</v>
      </c>
      <c r="G37" s="18" t="n">
        <v>55.96677538</v>
      </c>
      <c r="H37" s="20" t="n">
        <v>2.90623448</v>
      </c>
      <c r="I37" s="18" t="s">
        <v>349</v>
      </c>
      <c r="J37" s="20" t="s">
        <v>349</v>
      </c>
      <c r="K37" s="18" t="n">
        <v>3.05911573</v>
      </c>
      <c r="L37" s="20" t="n">
        <v>0.9575523</v>
      </c>
      <c r="M37" s="18" t="n">
        <v>0</v>
      </c>
      <c r="N37" s="20" t="n">
        <v>0</v>
      </c>
      <c r="O37" s="18" t="n">
        <v>0</v>
      </c>
      <c r="P37" s="20" t="n">
        <v>0</v>
      </c>
      <c r="Q37" s="18" t="n">
        <v>2.16852586</v>
      </c>
      <c r="R37" s="20" t="n">
        <v>0.7139944</v>
      </c>
    </row>
    <row r="38" spans="1:18">
      <c r="A38" s="15" t="s">
        <v>380</v>
      </c>
      <c r="B38" s="17" t="n">
        <v>2807</v>
      </c>
      <c r="C38" s="18">
        <f>(2334.0/B38*100)</f>
        <v/>
      </c>
      <c r="D38" s="19" t="n">
        <v>473</v>
      </c>
      <c r="E38" s="18" t="n">
        <v>35.24234432</v>
      </c>
      <c r="F38" s="20" t="n">
        <v>2.46182916</v>
      </c>
      <c r="G38" s="18" t="n">
        <v>64.24738935000001</v>
      </c>
      <c r="H38" s="20" t="n">
        <v>2.50576315</v>
      </c>
      <c r="I38" s="18" t="s">
        <v>349</v>
      </c>
      <c r="J38" s="20" t="s">
        <v>349</v>
      </c>
      <c r="K38" s="18" t="n">
        <v>0.48783685</v>
      </c>
      <c r="L38" s="20" t="n">
        <v>0.25029143</v>
      </c>
      <c r="M38" s="18" t="n">
        <v>0</v>
      </c>
      <c r="N38" s="20" t="n">
        <v>0</v>
      </c>
      <c r="O38" s="18" t="n">
        <v>0</v>
      </c>
      <c r="P38" s="20" t="n">
        <v>0</v>
      </c>
      <c r="Q38" s="18" t="n">
        <v>0.02242947</v>
      </c>
      <c r="R38" s="20" t="n">
        <v>0.02196493</v>
      </c>
    </row>
    <row r="39" spans="1:18">
      <c r="A39" s="15" t="s">
        <v>381</v>
      </c>
      <c r="B39" s="17" t="n">
        <v>2938</v>
      </c>
      <c r="C39" s="18">
        <f>(2570.0/B39*100)</f>
        <v/>
      </c>
      <c r="D39" s="19" t="n">
        <v>368</v>
      </c>
      <c r="E39" s="18" t="n">
        <v>65.18554235000001</v>
      </c>
      <c r="F39" s="20" t="n">
        <v>2.39813648</v>
      </c>
      <c r="G39" s="18" t="n">
        <v>33.2571396</v>
      </c>
      <c r="H39" s="20" t="n">
        <v>2.35448976</v>
      </c>
      <c r="I39" s="18" t="s">
        <v>349</v>
      </c>
      <c r="J39" s="20" t="s">
        <v>349</v>
      </c>
      <c r="K39" s="18" t="n">
        <v>0</v>
      </c>
      <c r="L39" s="20" t="n">
        <v>0</v>
      </c>
      <c r="M39" s="18" t="n">
        <v>0</v>
      </c>
      <c r="N39" s="20" t="n">
        <v>0</v>
      </c>
      <c r="O39" s="18" t="n">
        <v>0</v>
      </c>
      <c r="P39" s="20" t="n">
        <v>0</v>
      </c>
      <c r="Q39" s="18" t="n">
        <v>1.55731805</v>
      </c>
      <c r="R39" s="20" t="n">
        <v>0.81423447</v>
      </c>
    </row>
    <row r="40" spans="1:18">
      <c r="A40" s="15" t="s">
        <v>382</v>
      </c>
      <c r="B40" s="17" t="n">
        <v>6922</v>
      </c>
      <c r="C40" s="18">
        <f>(6058.0/B40*100)</f>
        <v/>
      </c>
      <c r="D40" s="19" t="n">
        <v>864</v>
      </c>
      <c r="E40" s="18" t="n">
        <v>41.18347606</v>
      </c>
      <c r="F40" s="20" t="n">
        <v>2.3427808</v>
      </c>
      <c r="G40" s="18" t="n">
        <v>56.67571558</v>
      </c>
      <c r="H40" s="20" t="n">
        <v>2.40220185</v>
      </c>
      <c r="I40" s="18" t="s">
        <v>349</v>
      </c>
      <c r="J40" s="20" t="s">
        <v>349</v>
      </c>
      <c r="K40" s="18" t="n">
        <v>1.26247005</v>
      </c>
      <c r="L40" s="20" t="n">
        <v>0.60714679</v>
      </c>
      <c r="M40" s="18" t="n">
        <v>0</v>
      </c>
      <c r="N40" s="20" t="n">
        <v>0</v>
      </c>
      <c r="O40" s="18" t="n">
        <v>0</v>
      </c>
      <c r="P40" s="20" t="n">
        <v>0</v>
      </c>
      <c r="Q40" s="18" t="n">
        <v>0.87833831</v>
      </c>
      <c r="R40" s="20" t="n">
        <v>0.47662812</v>
      </c>
    </row>
    <row r="41" spans="1:18">
      <c r="A41" s="15" t="s">
        <v>383</v>
      </c>
      <c r="B41" s="17" t="n">
        <v>2854</v>
      </c>
      <c r="C41" s="18">
        <f>(2506.0/B41*100)</f>
        <v/>
      </c>
      <c r="D41" s="19" t="n">
        <v>348</v>
      </c>
      <c r="E41" s="18" t="n">
        <v>56.08874751</v>
      </c>
      <c r="F41" s="20" t="n">
        <v>2.72849152</v>
      </c>
      <c r="G41" s="18" t="n">
        <v>43.80991052</v>
      </c>
      <c r="H41" s="20" t="n">
        <v>2.72488867</v>
      </c>
      <c r="I41" s="18" t="s">
        <v>349</v>
      </c>
      <c r="J41" s="20" t="s">
        <v>349</v>
      </c>
      <c r="K41" s="18" t="n">
        <v>0</v>
      </c>
      <c r="L41" s="20" t="n">
        <v>0</v>
      </c>
      <c r="M41" s="18" t="n">
        <v>0</v>
      </c>
      <c r="N41" s="20" t="n">
        <v>0</v>
      </c>
      <c r="O41" s="18" t="n">
        <v>0</v>
      </c>
      <c r="P41" s="20" t="n">
        <v>0</v>
      </c>
      <c r="Q41" s="18" t="n">
        <v>0.10134197</v>
      </c>
      <c r="R41" s="20" t="n">
        <v>0.10167041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(10819.0/B46*100)</f>
        <v/>
      </c>
      <c r="D46" s="19" t="n">
        <v>1254</v>
      </c>
      <c r="E46" s="18" t="n">
        <v>60.4338286</v>
      </c>
      <c r="F46" s="20" t="n">
        <v>1.99040175</v>
      </c>
      <c r="G46" s="18" t="n">
        <v>36.08083739</v>
      </c>
      <c r="H46" s="20" t="n">
        <v>1.88254431</v>
      </c>
      <c r="I46" s="18" t="s">
        <v>349</v>
      </c>
      <c r="J46" s="20" t="s">
        <v>349</v>
      </c>
      <c r="K46" s="18" t="n">
        <v>2.53542052</v>
      </c>
      <c r="L46" s="20" t="n">
        <v>0.42851895</v>
      </c>
      <c r="M46" s="18" t="n">
        <v>0</v>
      </c>
      <c r="N46" s="20" t="n">
        <v>0</v>
      </c>
      <c r="O46" s="18" t="n">
        <v>0</v>
      </c>
      <c r="P46" s="20" t="n">
        <v>0</v>
      </c>
      <c r="Q46" s="18" t="n">
        <v>0.94991349</v>
      </c>
      <c r="R46" s="20" t="n">
        <v>0.41759471</v>
      </c>
    </row>
    <row r="47" spans="1:18">
      <c r="A47" s="15" t="s">
        <v>389</v>
      </c>
      <c r="B47" s="17" t="n">
        <v>2823</v>
      </c>
      <c r="C47" s="18">
        <f>(2479.0/B47*100)</f>
        <v/>
      </c>
      <c r="D47" s="19" t="n">
        <v>344</v>
      </c>
      <c r="E47" s="18" t="n">
        <v>55.06818872</v>
      </c>
      <c r="F47" s="20" t="n">
        <v>2.77036883</v>
      </c>
      <c r="G47" s="18" t="n">
        <v>44.34841888</v>
      </c>
      <c r="H47" s="20" t="n">
        <v>2.78749357</v>
      </c>
      <c r="I47" s="18" t="s">
        <v>349</v>
      </c>
      <c r="J47" s="20" t="s">
        <v>349</v>
      </c>
      <c r="K47" s="18" t="n">
        <v>0.27467804</v>
      </c>
      <c r="L47" s="20" t="n">
        <v>0.27542066</v>
      </c>
      <c r="M47" s="18" t="n">
        <v>0</v>
      </c>
      <c r="N47" s="20" t="n">
        <v>0</v>
      </c>
      <c r="O47" s="18" t="n">
        <v>0</v>
      </c>
      <c r="P47" s="20" t="n">
        <v>0</v>
      </c>
      <c r="Q47" s="18" t="n">
        <v>0.30871436</v>
      </c>
      <c r="R47" s="20" t="n">
        <v>0.20051582</v>
      </c>
    </row>
    <row r="48" spans="1:18">
      <c r="A48" s="15" t="s">
        <v>390</v>
      </c>
      <c r="B48" s="17" t="n">
        <v>4682</v>
      </c>
      <c r="C48" s="18">
        <f>(4114.0/B48*100)</f>
        <v/>
      </c>
      <c r="D48" s="19" t="n">
        <v>568</v>
      </c>
      <c r="E48" s="18" t="n">
        <v>30.12175796</v>
      </c>
      <c r="F48" s="20" t="n">
        <v>3.02746582</v>
      </c>
      <c r="G48" s="18" t="n">
        <v>68.88440436</v>
      </c>
      <c r="H48" s="20" t="n">
        <v>2.9549299</v>
      </c>
      <c r="I48" s="18" t="s">
        <v>349</v>
      </c>
      <c r="J48" s="20" t="s">
        <v>349</v>
      </c>
      <c r="K48" s="18" t="n">
        <v>0.34763427</v>
      </c>
      <c r="L48" s="20" t="n">
        <v>0.33807802</v>
      </c>
      <c r="M48" s="18" t="n">
        <v>0</v>
      </c>
      <c r="N48" s="20" t="n">
        <v>0</v>
      </c>
      <c r="O48" s="18" t="n">
        <v>0</v>
      </c>
      <c r="P48" s="20" t="n">
        <v>0</v>
      </c>
      <c r="Q48" s="18" t="n">
        <v>0.64620341</v>
      </c>
      <c r="R48" s="20" t="n">
        <v>0.38661055</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(5450.0/B50*100)</f>
        <v/>
      </c>
      <c r="D50" s="19" t="n">
        <v>708</v>
      </c>
      <c r="E50" s="18" t="n">
        <v>64.96398169</v>
      </c>
      <c r="F50" s="20" t="n">
        <v>2.33585384</v>
      </c>
      <c r="G50" s="18" t="n">
        <v>32.99235967</v>
      </c>
      <c r="H50" s="20" t="n">
        <v>2.37266464</v>
      </c>
      <c r="I50" s="18" t="s">
        <v>349</v>
      </c>
      <c r="J50" s="20" t="s">
        <v>349</v>
      </c>
      <c r="K50" s="18" t="n">
        <v>1.77377281</v>
      </c>
      <c r="L50" s="20" t="n">
        <v>0.70155848</v>
      </c>
      <c r="M50" s="18" t="n">
        <v>0</v>
      </c>
      <c r="N50" s="20" t="n">
        <v>0</v>
      </c>
      <c r="O50" s="18" t="n">
        <v>0</v>
      </c>
      <c r="P50" s="20" t="n">
        <v>0</v>
      </c>
      <c r="Q50" s="18" t="n">
        <v>0.26988583</v>
      </c>
      <c r="R50" s="20" t="n">
        <v>0.26918828</v>
      </c>
    </row>
    <row r="51" spans="1:18">
      <c r="A51" s="15" t="s">
        <v>393</v>
      </c>
      <c r="B51" s="17" t="n">
        <v>3494</v>
      </c>
      <c r="C51" s="18">
        <f>(3140.0/B51*100)</f>
        <v/>
      </c>
      <c r="D51" s="19" t="n">
        <v>354</v>
      </c>
      <c r="E51" s="18" t="n">
        <v>64.27308222000001</v>
      </c>
      <c r="F51" s="20" t="n">
        <v>2.88606964</v>
      </c>
      <c r="G51" s="18" t="n">
        <v>32.44180164</v>
      </c>
      <c r="H51" s="20" t="n">
        <v>2.85363014</v>
      </c>
      <c r="I51" s="18" t="s">
        <v>349</v>
      </c>
      <c r="J51" s="20" t="s">
        <v>349</v>
      </c>
      <c r="K51" s="18" t="n">
        <v>1.61255603</v>
      </c>
      <c r="L51" s="20" t="n">
        <v>0.68830212</v>
      </c>
      <c r="M51" s="18" t="n">
        <v>0</v>
      </c>
      <c r="N51" s="20" t="n">
        <v>0</v>
      </c>
      <c r="O51" s="18" t="n">
        <v>0</v>
      </c>
      <c r="P51" s="20" t="n">
        <v>0</v>
      </c>
      <c r="Q51" s="18" t="n">
        <v>1.67256011</v>
      </c>
      <c r="R51" s="20" t="n">
        <v>0.64958967</v>
      </c>
    </row>
    <row r="52" spans="1:18">
      <c r="A52" s="15" t="s">
        <v>394</v>
      </c>
      <c r="B52" s="17" t="n">
        <v>3013</v>
      </c>
      <c r="C52" s="18">
        <f>(2646.0/B52*100)</f>
        <v/>
      </c>
      <c r="D52" s="19" t="n">
        <v>367</v>
      </c>
      <c r="E52" s="18" t="n">
        <v>61.0536082</v>
      </c>
      <c r="F52" s="20" t="n">
        <v>2.58630853</v>
      </c>
      <c r="G52" s="18" t="n">
        <v>35.57296512</v>
      </c>
      <c r="H52" s="20" t="n">
        <v>2.65071423</v>
      </c>
      <c r="I52" s="18" t="s">
        <v>349</v>
      </c>
      <c r="J52" s="20" t="s">
        <v>349</v>
      </c>
      <c r="K52" s="18" t="n">
        <v>0.68599179</v>
      </c>
      <c r="L52" s="20" t="n">
        <v>0.48519229</v>
      </c>
      <c r="M52" s="18" t="n">
        <v>0</v>
      </c>
      <c r="N52" s="20" t="n">
        <v>0</v>
      </c>
      <c r="O52" s="18" t="n">
        <v>0</v>
      </c>
      <c r="P52" s="20" t="n">
        <v>0</v>
      </c>
      <c r="Q52" s="18" t="n">
        <v>2.68743489</v>
      </c>
      <c r="R52" s="20" t="n">
        <v>0.73228357</v>
      </c>
    </row>
    <row r="53" spans="1:18">
      <c r="A53" s="15" t="s">
        <v>395</v>
      </c>
      <c r="B53" s="17" t="n">
        <v>2760</v>
      </c>
      <c r="C53" s="18">
        <f>(2442.0/B53*100)</f>
        <v/>
      </c>
      <c r="D53" s="19" t="n">
        <v>318</v>
      </c>
      <c r="E53" s="18" t="n">
        <v>54.07137746</v>
      </c>
      <c r="F53" s="20" t="n">
        <v>2.83831649</v>
      </c>
      <c r="G53" s="18" t="n">
        <v>43.61742466</v>
      </c>
      <c r="H53" s="20" t="n">
        <v>2.80619261</v>
      </c>
      <c r="I53" s="18" t="s">
        <v>349</v>
      </c>
      <c r="J53" s="20" t="s">
        <v>349</v>
      </c>
      <c r="K53" s="18" t="n">
        <v>1.80898293</v>
      </c>
      <c r="L53" s="20" t="n">
        <v>0.66818261</v>
      </c>
      <c r="M53" s="18" t="n">
        <v>0</v>
      </c>
      <c r="N53" s="20" t="n">
        <v>0</v>
      </c>
      <c r="O53" s="18" t="n">
        <v>0</v>
      </c>
      <c r="P53" s="20" t="n">
        <v>0</v>
      </c>
      <c r="Q53" s="18" t="n">
        <v>0.50221495</v>
      </c>
      <c r="R53" s="20" t="n">
        <v>0.35749884</v>
      </c>
    </row>
    <row r="54" spans="1:18">
      <c r="A54" s="15" t="s">
        <v>396</v>
      </c>
      <c r="B54" s="17" t="n">
        <v>2474</v>
      </c>
      <c r="C54" s="18">
        <f>(2057.0/B54*100)</f>
        <v/>
      </c>
      <c r="D54" s="19" t="n">
        <v>417</v>
      </c>
      <c r="E54" s="18" t="n">
        <v>62.60150161</v>
      </c>
      <c r="F54" s="20" t="n">
        <v>2.08346994</v>
      </c>
      <c r="G54" s="18" t="n">
        <v>27.75204344</v>
      </c>
      <c r="H54" s="20" t="n">
        <v>1.90916286</v>
      </c>
      <c r="I54" s="18" t="s">
        <v>349</v>
      </c>
      <c r="J54" s="20" t="s">
        <v>349</v>
      </c>
      <c r="K54" s="18" t="n">
        <v>7.26502204</v>
      </c>
      <c r="L54" s="20" t="n">
        <v>1.38151518</v>
      </c>
      <c r="M54" s="18" t="n">
        <v>0</v>
      </c>
      <c r="N54" s="20" t="n">
        <v>0</v>
      </c>
      <c r="O54" s="18" t="n">
        <v>0</v>
      </c>
      <c r="P54" s="20" t="n">
        <v>0</v>
      </c>
      <c r="Q54" s="18" t="n">
        <v>2.38143291</v>
      </c>
      <c r="R54" s="20" t="n">
        <v>0.9513864400000001</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(2356.0/B56*100)</f>
        <v/>
      </c>
      <c r="D56" s="19" t="n">
        <v>319</v>
      </c>
      <c r="E56" s="18" t="n">
        <v>24.81042987</v>
      </c>
      <c r="F56" s="20" t="n">
        <v>2.54212855</v>
      </c>
      <c r="G56" s="18" t="n">
        <v>75.18957013000001</v>
      </c>
      <c r="H56" s="20" t="n">
        <v>2.54212855</v>
      </c>
      <c r="I56" s="18" t="s">
        <v>349</v>
      </c>
      <c r="J56" s="20" t="s">
        <v>349</v>
      </c>
      <c r="K56" s="18" t="n">
        <v>0</v>
      </c>
      <c r="L56" s="20" t="n">
        <v>0</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(2804.0/B61*100)</f>
        <v/>
      </c>
      <c r="D61" s="19" t="n">
        <v>397</v>
      </c>
      <c r="E61" s="18" t="n">
        <v>43.22215061</v>
      </c>
      <c r="F61" s="20" t="n">
        <v>3.32237131</v>
      </c>
      <c r="G61" s="18" t="n">
        <v>55.78900463</v>
      </c>
      <c r="H61" s="20" t="n">
        <v>3.2914807</v>
      </c>
      <c r="I61" s="18" t="s">
        <v>349</v>
      </c>
      <c r="J61" s="20" t="s">
        <v>349</v>
      </c>
      <c r="K61" s="18" t="n">
        <v>0.30360449</v>
      </c>
      <c r="L61" s="20" t="n">
        <v>0.30195508</v>
      </c>
      <c r="M61" s="18" t="n">
        <v>0</v>
      </c>
      <c r="N61" s="20" t="n">
        <v>0</v>
      </c>
      <c r="O61" s="18" t="n">
        <v>0</v>
      </c>
      <c r="P61" s="20" t="n">
        <v>0</v>
      </c>
      <c r="Q61" s="18" t="n">
        <v>0.68524027</v>
      </c>
      <c r="R61" s="20" t="n">
        <v>0.36524885</v>
      </c>
    </row>
    <row r="62" spans="1:18">
      <c r="A62" s="15" t="s">
        <v>404</v>
      </c>
      <c r="B62" s="17" t="n">
        <v>2230</v>
      </c>
      <c r="C62" s="18">
        <f>(1973.0/B62*100)</f>
        <v/>
      </c>
      <c r="D62" s="19" t="n">
        <v>257</v>
      </c>
      <c r="E62" s="18" t="n">
        <v>35.93946138</v>
      </c>
      <c r="F62" s="20" t="n">
        <v>2.90625205</v>
      </c>
      <c r="G62" s="18" t="n">
        <v>64.06053862</v>
      </c>
      <c r="H62" s="20" t="n">
        <v>2.90625205</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(2433.0/B66*100)</f>
        <v/>
      </c>
      <c r="D66" s="19" t="n">
        <v>338</v>
      </c>
      <c r="E66" s="18" t="n">
        <v>56.46075721</v>
      </c>
      <c r="F66" s="20" t="n">
        <v>2.58256538</v>
      </c>
      <c r="G66" s="18" t="n">
        <v>39.20323092</v>
      </c>
      <c r="H66" s="20" t="n">
        <v>2.53174459</v>
      </c>
      <c r="I66" s="18" t="s">
        <v>349</v>
      </c>
      <c r="J66" s="20" t="s">
        <v>349</v>
      </c>
      <c r="K66" s="18" t="n">
        <v>2.3662</v>
      </c>
      <c r="L66" s="20" t="n">
        <v>0.74842608</v>
      </c>
      <c r="M66" s="18" t="n">
        <v>0</v>
      </c>
      <c r="N66" s="20" t="n">
        <v>0</v>
      </c>
      <c r="O66" s="18" t="n">
        <v>0</v>
      </c>
      <c r="P66" s="20" t="n">
        <v>0</v>
      </c>
      <c r="Q66" s="18" t="n">
        <v>1.96981186</v>
      </c>
      <c r="R66" s="20" t="n">
        <v>0.75927225</v>
      </c>
    </row>
    <row r="67" spans="1:18">
      <c r="A67" s="15" t="s">
        <v>409</v>
      </c>
      <c r="B67" s="17" t="n">
        <v>3460</v>
      </c>
      <c r="C67" s="18">
        <f>(3067.0/B67*100)</f>
        <v/>
      </c>
      <c r="D67" s="19" t="n">
        <v>393</v>
      </c>
      <c r="E67" s="18" t="n">
        <v>61.09691023</v>
      </c>
      <c r="F67" s="20" t="n">
        <v>2.47524732</v>
      </c>
      <c r="G67" s="18" t="n">
        <v>36.05125114</v>
      </c>
      <c r="H67" s="20" t="n">
        <v>2.38125495</v>
      </c>
      <c r="I67" s="18" t="s">
        <v>349</v>
      </c>
      <c r="J67" s="20" t="s">
        <v>349</v>
      </c>
      <c r="K67" s="18" t="n">
        <v>1.14897519</v>
      </c>
      <c r="L67" s="20" t="n">
        <v>0.57820617</v>
      </c>
      <c r="M67" s="18" t="n">
        <v>0</v>
      </c>
      <c r="N67" s="20" t="n">
        <v>0</v>
      </c>
      <c r="O67" s="18" t="n">
        <v>0</v>
      </c>
      <c r="P67" s="20" t="n">
        <v>0</v>
      </c>
      <c r="Q67" s="18" t="n">
        <v>1.70286344</v>
      </c>
      <c r="R67" s="20" t="n">
        <v>0.79633689</v>
      </c>
    </row>
    <row r="68" spans="1:18">
      <c r="A68" s="15" t="s">
        <v>410</v>
      </c>
      <c r="B68" s="17" t="n">
        <v>6034</v>
      </c>
      <c r="C68" s="18">
        <f>(5046.0/B68*100)</f>
        <v/>
      </c>
      <c r="D68" s="19" t="n">
        <v>988</v>
      </c>
      <c r="E68" s="18" t="n">
        <v>55.08577294</v>
      </c>
      <c r="F68" s="20" t="n">
        <v>1.77209904</v>
      </c>
      <c r="G68" s="18" t="n">
        <v>42.40732803</v>
      </c>
      <c r="H68" s="20" t="n">
        <v>1.71922869</v>
      </c>
      <c r="I68" s="18" t="s">
        <v>349</v>
      </c>
      <c r="J68" s="20" t="s">
        <v>349</v>
      </c>
      <c r="K68" s="18" t="n">
        <v>1.90242145</v>
      </c>
      <c r="L68" s="20" t="n">
        <v>0.43906659</v>
      </c>
      <c r="M68" s="18" t="n">
        <v>0</v>
      </c>
      <c r="N68" s="20" t="n">
        <v>0</v>
      </c>
      <c r="O68" s="18" t="n">
        <v>0</v>
      </c>
      <c r="P68" s="20" t="n">
        <v>0</v>
      </c>
      <c r="Q68" s="18" t="n">
        <v>0.60447758</v>
      </c>
      <c r="R68" s="20" t="n">
        <v>0.24474099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(2748.0/B70*100)</f>
        <v/>
      </c>
      <c r="D70" s="19" t="n">
        <v>359</v>
      </c>
      <c r="E70" s="18" t="n">
        <v>39.70276076</v>
      </c>
      <c r="F70" s="20" t="n">
        <v>2.59052949</v>
      </c>
      <c r="G70" s="18" t="n">
        <v>59.08258999</v>
      </c>
      <c r="H70" s="20" t="n">
        <v>2.69898829</v>
      </c>
      <c r="I70" s="18" t="s">
        <v>349</v>
      </c>
      <c r="J70" s="20" t="s">
        <v>349</v>
      </c>
      <c r="K70" s="18" t="n">
        <v>0.5019112999999999</v>
      </c>
      <c r="L70" s="20" t="n">
        <v>0.35249929</v>
      </c>
      <c r="M70" s="18" t="n">
        <v>0</v>
      </c>
      <c r="N70" s="20" t="n">
        <v>0</v>
      </c>
      <c r="O70" s="18" t="n">
        <v>0</v>
      </c>
      <c r="P70" s="20" t="n">
        <v>0</v>
      </c>
      <c r="Q70" s="18" t="n">
        <v>0.71273795</v>
      </c>
      <c r="R70" s="20" t="n">
        <v>0.34506514</v>
      </c>
    </row>
    <row r="71" spans="1:18">
      <c r="A71" s="15" t="s">
        <v>413</v>
      </c>
      <c r="B71" s="17" t="n">
        <v>2973</v>
      </c>
      <c r="C71" s="18">
        <f>(2593.0/B71*100)</f>
        <v/>
      </c>
      <c r="D71" s="19" t="n">
        <v>380</v>
      </c>
      <c r="E71" s="18" t="n">
        <v>13.65553291</v>
      </c>
      <c r="F71" s="20" t="n">
        <v>1.54825915</v>
      </c>
      <c r="G71" s="18" t="n">
        <v>86.16607967</v>
      </c>
      <c r="H71" s="20" t="n">
        <v>1.55923905</v>
      </c>
      <c r="I71" s="18" t="s">
        <v>349</v>
      </c>
      <c r="J71" s="20" t="s">
        <v>349</v>
      </c>
      <c r="K71" s="18" t="n">
        <v>0.17838742</v>
      </c>
      <c r="L71" s="20" t="n">
        <v>0.17902745</v>
      </c>
      <c r="M71" s="18" t="n">
        <v>0</v>
      </c>
      <c r="N71" s="20" t="n">
        <v>0</v>
      </c>
      <c r="O71" s="18" t="n">
        <v>0</v>
      </c>
      <c r="P71" s="20" t="n">
        <v>0</v>
      </c>
      <c r="Q71" s="18" t="n">
        <v>0</v>
      </c>
      <c r="R71" s="20" t="n">
        <v>0</v>
      </c>
    </row>
    <row r="72" spans="1:18">
      <c r="A72" s="15" t="s">
        <v>414</v>
      </c>
      <c r="B72" s="17" t="n">
        <v>3819</v>
      </c>
      <c r="C72" s="18">
        <f>(3341.0/B72*100)</f>
        <v/>
      </c>
      <c r="D72" s="19" t="n">
        <v>478</v>
      </c>
      <c r="E72" s="18" t="n">
        <v>42.58703076</v>
      </c>
      <c r="F72" s="20" t="n">
        <v>2.19822094</v>
      </c>
      <c r="G72" s="18" t="n">
        <v>57.18699351</v>
      </c>
      <c r="H72" s="20" t="n">
        <v>2.21252634</v>
      </c>
      <c r="I72" s="18" t="s">
        <v>349</v>
      </c>
      <c r="J72" s="20" t="s">
        <v>349</v>
      </c>
      <c r="K72" s="18" t="n">
        <v>0.22597573</v>
      </c>
      <c r="L72" s="20" t="n">
        <v>0.22656799</v>
      </c>
      <c r="M72" s="18" t="n">
        <v>0</v>
      </c>
      <c r="N72" s="20" t="n">
        <v>0</v>
      </c>
      <c r="O72" s="18" t="n">
        <v>0</v>
      </c>
      <c r="P72" s="20" t="n">
        <v>0</v>
      </c>
      <c r="Q72" s="18" t="n">
        <v>0</v>
      </c>
      <c r="R72" s="20" t="n">
        <v>0</v>
      </c>
    </row>
    <row r="73" spans="1:18">
      <c r="A73" s="15" t="s">
        <v>415</v>
      </c>
      <c r="B73" s="17" t="n">
        <v>4652</v>
      </c>
      <c r="C73" s="18">
        <f>(4107.0/B73*100)</f>
        <v/>
      </c>
      <c r="D73" s="19" t="n">
        <v>545</v>
      </c>
      <c r="E73" s="18" t="n">
        <v>63.84091773</v>
      </c>
      <c r="F73" s="20" t="n">
        <v>2.23243327</v>
      </c>
      <c r="G73" s="18" t="n">
        <v>35.38169242</v>
      </c>
      <c r="H73" s="20" t="n">
        <v>2.2511508</v>
      </c>
      <c r="I73" s="18" t="s">
        <v>349</v>
      </c>
      <c r="J73" s="20" t="s">
        <v>349</v>
      </c>
      <c r="K73" s="18" t="n">
        <v>0.26021197</v>
      </c>
      <c r="L73" s="20" t="n">
        <v>0.25484815</v>
      </c>
      <c r="M73" s="18" t="n">
        <v>0</v>
      </c>
      <c r="N73" s="20" t="n">
        <v>0</v>
      </c>
      <c r="O73" s="18" t="n">
        <v>0</v>
      </c>
      <c r="P73" s="20" t="n">
        <v>0</v>
      </c>
      <c r="Q73" s="18" t="n">
        <v>0.51717788</v>
      </c>
      <c r="R73" s="20" t="n">
        <v>0.3667949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(2629.0/B75*100)</f>
        <v/>
      </c>
      <c r="D75" s="19" t="n">
        <v>340</v>
      </c>
      <c r="E75" s="18" t="n">
        <v>58.95051042</v>
      </c>
      <c r="F75" s="20" t="n">
        <v>2.43327641</v>
      </c>
      <c r="G75" s="18" t="n">
        <v>34.78788893</v>
      </c>
      <c r="H75" s="20" t="n">
        <v>2.4425505</v>
      </c>
      <c r="I75" s="18" t="s">
        <v>349</v>
      </c>
      <c r="J75" s="20" t="s">
        <v>349</v>
      </c>
      <c r="K75" s="18" t="n">
        <v>5.39421534</v>
      </c>
      <c r="L75" s="20" t="n">
        <v>1.22445003</v>
      </c>
      <c r="M75" s="18" t="n">
        <v>0</v>
      </c>
      <c r="N75" s="20" t="n">
        <v>0</v>
      </c>
      <c r="O75" s="18" t="n">
        <v>0</v>
      </c>
      <c r="P75" s="20" t="n">
        <v>0</v>
      </c>
      <c r="Q75" s="18" t="n">
        <v>0.86738532</v>
      </c>
      <c r="R75" s="20" t="n">
        <v>0.47529614</v>
      </c>
    </row>
    <row r="76" spans="1:18">
      <c r="A76" s="15" t="s">
        <v>418</v>
      </c>
      <c r="B76" s="17" t="n">
        <v>7115</v>
      </c>
      <c r="C76" s="18">
        <f>(6237.0/B76*100)</f>
        <v/>
      </c>
      <c r="D76" s="19" t="n">
        <v>878</v>
      </c>
      <c r="E76" s="18" t="n">
        <v>46.43330247</v>
      </c>
      <c r="F76" s="20" t="n">
        <v>2.37054115</v>
      </c>
      <c r="G76" s="18" t="n">
        <v>51.85374405</v>
      </c>
      <c r="H76" s="20" t="n">
        <v>2.28319706</v>
      </c>
      <c r="I76" s="18" t="s">
        <v>349</v>
      </c>
      <c r="J76" s="20" t="s">
        <v>349</v>
      </c>
      <c r="K76" s="18" t="n">
        <v>1.06268293</v>
      </c>
      <c r="L76" s="20" t="n">
        <v>0.39452514</v>
      </c>
      <c r="M76" s="18" t="n">
        <v>0</v>
      </c>
      <c r="N76" s="20" t="n">
        <v>0</v>
      </c>
      <c r="O76" s="18" t="n">
        <v>0</v>
      </c>
      <c r="P76" s="20" t="n">
        <v>0</v>
      </c>
      <c r="Q76" s="18" t="n">
        <v>0.65027055</v>
      </c>
      <c r="R76" s="20" t="n">
        <v>0.2894708</v>
      </c>
    </row>
    <row r="77" spans="1:18">
      <c r="A77" s="15" t="s">
        <v>419</v>
      </c>
      <c r="B77" s="17" t="n">
        <v>3154</v>
      </c>
      <c r="C77" s="18">
        <f>(2786.0/B77*100)</f>
        <v/>
      </c>
      <c r="D77" s="19" t="n">
        <v>368</v>
      </c>
      <c r="E77" s="18" t="n">
        <v>52.61943268</v>
      </c>
      <c r="F77" s="20" t="n">
        <v>2.677742</v>
      </c>
      <c r="G77" s="18" t="n">
        <v>45.34947037</v>
      </c>
      <c r="H77" s="20" t="n">
        <v>2.7629798</v>
      </c>
      <c r="I77" s="18" t="s">
        <v>349</v>
      </c>
      <c r="J77" s="20" t="s">
        <v>349</v>
      </c>
      <c r="K77" s="18" t="n">
        <v>1.60312007</v>
      </c>
      <c r="L77" s="20" t="n">
        <v>0.60533676</v>
      </c>
      <c r="M77" s="18" t="n">
        <v>0</v>
      </c>
      <c r="N77" s="20" t="n">
        <v>0</v>
      </c>
      <c r="O77" s="18" t="n">
        <v>0</v>
      </c>
      <c r="P77" s="20" t="n">
        <v>0</v>
      </c>
      <c r="Q77" s="18" t="n">
        <v>0.42797688</v>
      </c>
      <c r="R77" s="20" t="n">
        <v>0.31615363</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(4121.0/B81*100)</f>
        <v/>
      </c>
      <c r="D81" s="19" t="n">
        <v>577</v>
      </c>
      <c r="E81" s="18" t="n">
        <v>46.89455219</v>
      </c>
      <c r="F81" s="20" t="n">
        <v>2.58787699</v>
      </c>
      <c r="G81" s="18" t="n">
        <v>52.87204836</v>
      </c>
      <c r="H81" s="20" t="n">
        <v>2.58502444</v>
      </c>
      <c r="I81" s="18" t="s">
        <v>349</v>
      </c>
      <c r="J81" s="20" t="s">
        <v>349</v>
      </c>
      <c r="K81" s="18" t="n">
        <v>0.23339945</v>
      </c>
      <c r="L81" s="20" t="n">
        <v>0.23278632</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492</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7163</v>
      </c>
      <c r="C7" s="18">
        <f>(6307.0/B7*100)</f>
        <v/>
      </c>
      <c r="D7" s="19" t="n">
        <v>856</v>
      </c>
      <c r="E7" s="18" t="n">
        <v>36.79158891</v>
      </c>
      <c r="F7" s="20" t="n">
        <v>2.12776817</v>
      </c>
      <c r="G7" s="18" t="n">
        <v>6.30304274</v>
      </c>
      <c r="H7" s="20" t="n">
        <v>0.929637</v>
      </c>
      <c r="I7" s="18" t="n">
        <v>40.64869832</v>
      </c>
      <c r="J7" s="20" t="n">
        <v>2.08240083</v>
      </c>
      <c r="K7" s="18" t="s">
        <v>349</v>
      </c>
      <c r="L7" s="20" t="s">
        <v>349</v>
      </c>
      <c r="M7" s="18" t="n">
        <v>2.9880787</v>
      </c>
      <c r="N7" s="20" t="n">
        <v>0.59196819</v>
      </c>
      <c r="O7" s="18" t="n">
        <v>0</v>
      </c>
      <c r="P7" s="20" t="n">
        <v>0</v>
      </c>
      <c r="Q7" s="18" t="n">
        <v>0</v>
      </c>
      <c r="R7" s="20" t="n">
        <v>0</v>
      </c>
      <c r="S7" s="18" t="n">
        <v>13.26859134</v>
      </c>
      <c r="T7" s="20" t="n">
        <v>1.37978188</v>
      </c>
    </row>
    <row r="8" spans="1:20">
      <c r="A8" s="15" t="s">
        <v>350</v>
      </c>
      <c r="B8" s="17" t="n">
        <v>3443</v>
      </c>
      <c r="C8" s="18">
        <f>(3021.0/B8*100)</f>
        <v/>
      </c>
      <c r="D8" s="19" t="n">
        <v>422</v>
      </c>
      <c r="E8" s="18" t="n">
        <v>25.61767224</v>
      </c>
      <c r="F8" s="20" t="n">
        <v>2.54066229</v>
      </c>
      <c r="G8" s="18" t="n">
        <v>17.87857048</v>
      </c>
      <c r="H8" s="20" t="n">
        <v>1.77504284</v>
      </c>
      <c r="I8" s="18" t="n">
        <v>33.67662751</v>
      </c>
      <c r="J8" s="20" t="n">
        <v>2.55003831</v>
      </c>
      <c r="K8" s="18" t="s">
        <v>349</v>
      </c>
      <c r="L8" s="20" t="s">
        <v>349</v>
      </c>
      <c r="M8" s="18" t="n">
        <v>5.05103264</v>
      </c>
      <c r="N8" s="20" t="n">
        <v>1.08349829</v>
      </c>
      <c r="O8" s="18" t="n">
        <v>0</v>
      </c>
      <c r="P8" s="20" t="n">
        <v>0</v>
      </c>
      <c r="Q8" s="18" t="n">
        <v>0</v>
      </c>
      <c r="R8" s="20" t="n">
        <v>0</v>
      </c>
      <c r="S8" s="18" t="n">
        <v>17.77609712</v>
      </c>
      <c r="T8" s="20" t="n">
        <v>1.70945434</v>
      </c>
    </row>
    <row r="9" spans="1:20">
      <c r="A9" s="15" t="s">
        <v>351</v>
      </c>
      <c r="B9" s="17" t="n">
        <v>4752</v>
      </c>
      <c r="C9" s="18">
        <f>(4200.0/B9*100)</f>
        <v/>
      </c>
      <c r="D9" s="19" t="n">
        <v>552</v>
      </c>
      <c r="E9" s="18" t="n">
        <v>23.70503905</v>
      </c>
      <c r="F9" s="20" t="n">
        <v>1.76436481</v>
      </c>
      <c r="G9" s="18" t="n">
        <v>11.92115697</v>
      </c>
      <c r="H9" s="20" t="n">
        <v>1.17327357</v>
      </c>
      <c r="I9" s="18" t="n">
        <v>44.4227757</v>
      </c>
      <c r="J9" s="20" t="n">
        <v>2.15130281</v>
      </c>
      <c r="K9" s="18" t="s">
        <v>349</v>
      </c>
      <c r="L9" s="20" t="s">
        <v>349</v>
      </c>
      <c r="M9" s="18" t="n">
        <v>3.2329193</v>
      </c>
      <c r="N9" s="20" t="n">
        <v>0.81117017</v>
      </c>
      <c r="O9" s="18" t="n">
        <v>0.1367727</v>
      </c>
      <c r="P9" s="20" t="n">
        <v>0.13694303</v>
      </c>
      <c r="Q9" s="18" t="n">
        <v>0</v>
      </c>
      <c r="R9" s="20" t="n">
        <v>0</v>
      </c>
      <c r="S9" s="18" t="n">
        <v>16.58133628</v>
      </c>
      <c r="T9" s="20" t="n">
        <v>1.66723124</v>
      </c>
    </row>
    <row r="10" spans="1:20">
      <c r="A10" s="15" t="s">
        <v>352</v>
      </c>
      <c r="B10" s="17" t="n">
        <v>10022</v>
      </c>
      <c r="C10" s="18">
        <f>(8784.0/B10*100)</f>
        <v/>
      </c>
      <c r="D10" s="19" t="n">
        <v>1238</v>
      </c>
      <c r="E10" s="18" t="n">
        <v>30.2022602</v>
      </c>
      <c r="F10" s="20" t="n">
        <v>1.80093113</v>
      </c>
      <c r="G10" s="18" t="n">
        <v>7.46559077</v>
      </c>
      <c r="H10" s="20" t="n">
        <v>0.91497929</v>
      </c>
      <c r="I10" s="18" t="n">
        <v>54.30103264</v>
      </c>
      <c r="J10" s="20" t="n">
        <v>2.00438014</v>
      </c>
      <c r="K10" s="18" t="s">
        <v>349</v>
      </c>
      <c r="L10" s="20" t="s">
        <v>349</v>
      </c>
      <c r="M10" s="18" t="n">
        <v>2.35888062</v>
      </c>
      <c r="N10" s="20" t="n">
        <v>0.63792676</v>
      </c>
      <c r="O10" s="18" t="n">
        <v>0.02936771</v>
      </c>
      <c r="P10" s="20" t="n">
        <v>0.02935148</v>
      </c>
      <c r="Q10" s="18" t="n">
        <v>0</v>
      </c>
      <c r="R10" s="20" t="n">
        <v>0</v>
      </c>
      <c r="S10" s="18" t="n">
        <v>5.64286805</v>
      </c>
      <c r="T10" s="20" t="n">
        <v>0.90544453</v>
      </c>
    </row>
    <row r="11" spans="1:20">
      <c r="A11" s="15" t="s">
        <v>353</v>
      </c>
      <c r="B11" s="17" t="n">
        <v>3500</v>
      </c>
      <c r="C11" s="18">
        <f>(3079.0/B11*100)</f>
        <v/>
      </c>
      <c r="D11" s="19" t="n">
        <v>421</v>
      </c>
      <c r="E11" s="18" t="n">
        <v>38.68296214</v>
      </c>
      <c r="F11" s="20" t="n">
        <v>2.93622925</v>
      </c>
      <c r="G11" s="18" t="n">
        <v>9.73371539</v>
      </c>
      <c r="H11" s="20" t="n">
        <v>1.5186453</v>
      </c>
      <c r="I11" s="18" t="n">
        <v>12.54946449</v>
      </c>
      <c r="J11" s="20" t="n">
        <v>1.57451547</v>
      </c>
      <c r="K11" s="18" t="s">
        <v>349</v>
      </c>
      <c r="L11" s="20" t="s">
        <v>349</v>
      </c>
      <c r="M11" s="18" t="n">
        <v>10.26748825</v>
      </c>
      <c r="N11" s="20" t="n">
        <v>1.99071114</v>
      </c>
      <c r="O11" s="18" t="n">
        <v>0</v>
      </c>
      <c r="P11" s="20" t="n">
        <v>0</v>
      </c>
      <c r="Q11" s="18" t="n">
        <v>0</v>
      </c>
      <c r="R11" s="20" t="n">
        <v>0</v>
      </c>
      <c r="S11" s="18" t="n">
        <v>28.76636973</v>
      </c>
      <c r="T11" s="20" t="n">
        <v>2.71279598</v>
      </c>
    </row>
    <row r="12" spans="1:20">
      <c r="A12" s="15" t="s">
        <v>354</v>
      </c>
      <c r="B12" s="17" t="n">
        <v>3422</v>
      </c>
      <c r="C12" s="18">
        <f>(3012.0/B12*100)</f>
        <v/>
      </c>
      <c r="D12" s="19" t="n">
        <v>410</v>
      </c>
      <c r="E12" s="18" t="n">
        <v>19.6525644</v>
      </c>
      <c r="F12" s="20" t="n">
        <v>2.09035065</v>
      </c>
      <c r="G12" s="18" t="n">
        <v>10.00707419</v>
      </c>
      <c r="H12" s="20" t="n">
        <v>1.84944825</v>
      </c>
      <c r="I12" s="18" t="n">
        <v>39.77137698</v>
      </c>
      <c r="J12" s="20" t="n">
        <v>2.79530726</v>
      </c>
      <c r="K12" s="18" t="s">
        <v>349</v>
      </c>
      <c r="L12" s="20" t="s">
        <v>349</v>
      </c>
      <c r="M12" s="18" t="n">
        <v>6.18309473</v>
      </c>
      <c r="N12" s="20" t="n">
        <v>1.69174679</v>
      </c>
      <c r="O12" s="18" t="n">
        <v>0.09138591</v>
      </c>
      <c r="P12" s="20" t="n">
        <v>0.09208312</v>
      </c>
      <c r="Q12" s="18" t="n">
        <v>0</v>
      </c>
      <c r="R12" s="20" t="n">
        <v>0</v>
      </c>
      <c r="S12" s="18" t="n">
        <v>24.29450379</v>
      </c>
      <c r="T12" s="20" t="n">
        <v>2.77145133</v>
      </c>
    </row>
    <row r="13" spans="1:20">
      <c r="A13" s="15" t="s">
        <v>355</v>
      </c>
      <c r="B13" s="17" t="n">
        <v>3602</v>
      </c>
      <c r="C13" s="18">
        <f>(3200.0/B13*100)</f>
        <v/>
      </c>
      <c r="D13" s="19" t="n">
        <v>402</v>
      </c>
      <c r="E13" s="18" t="n">
        <v>33.65355881</v>
      </c>
      <c r="F13" s="20" t="n">
        <v>2.74984038</v>
      </c>
      <c r="G13" s="18" t="n">
        <v>7.58962843</v>
      </c>
      <c r="H13" s="20" t="n">
        <v>1.37826461</v>
      </c>
      <c r="I13" s="18" t="n">
        <v>42.24488677</v>
      </c>
      <c r="J13" s="20" t="n">
        <v>3.3091865</v>
      </c>
      <c r="K13" s="18" t="s">
        <v>349</v>
      </c>
      <c r="L13" s="20" t="s">
        <v>349</v>
      </c>
      <c r="M13" s="18" t="n">
        <v>4.44050334</v>
      </c>
      <c r="N13" s="20" t="n">
        <v>1.52953624</v>
      </c>
      <c r="O13" s="18" t="n">
        <v>0</v>
      </c>
      <c r="P13" s="20" t="n">
        <v>0</v>
      </c>
      <c r="Q13" s="18" t="n">
        <v>0</v>
      </c>
      <c r="R13" s="20" t="n">
        <v>0</v>
      </c>
      <c r="S13" s="18" t="n">
        <v>12.07142264</v>
      </c>
      <c r="T13" s="20" t="n">
        <v>1.88449271</v>
      </c>
    </row>
    <row r="14" spans="1:20">
      <c r="A14" s="15" t="s">
        <v>356</v>
      </c>
      <c r="B14" s="17" t="n">
        <v>2788</v>
      </c>
      <c r="C14" s="18">
        <f>(2442.0/B14*100)</f>
        <v/>
      </c>
      <c r="D14" s="19" t="n">
        <v>346</v>
      </c>
      <c r="E14" s="18" t="n">
        <v>31.94188813</v>
      </c>
      <c r="F14" s="20" t="n">
        <v>2.90947635</v>
      </c>
      <c r="G14" s="18" t="n">
        <v>16.42793184</v>
      </c>
      <c r="H14" s="20" t="n">
        <v>2.05640797</v>
      </c>
      <c r="I14" s="18" t="n">
        <v>38.16345763</v>
      </c>
      <c r="J14" s="20" t="n">
        <v>2.68164399</v>
      </c>
      <c r="K14" s="18" t="s">
        <v>349</v>
      </c>
      <c r="L14" s="20" t="s">
        <v>349</v>
      </c>
      <c r="M14" s="18" t="n">
        <v>3.40680322</v>
      </c>
      <c r="N14" s="20" t="n">
        <v>1.02304718</v>
      </c>
      <c r="O14" s="18" t="n">
        <v>0</v>
      </c>
      <c r="P14" s="20" t="n">
        <v>0</v>
      </c>
      <c r="Q14" s="18" t="n">
        <v>0</v>
      </c>
      <c r="R14" s="20" t="n">
        <v>0</v>
      </c>
      <c r="S14" s="18" t="n">
        <v>10.05991917</v>
      </c>
      <c r="T14" s="20" t="n">
        <v>1.66031007</v>
      </c>
    </row>
    <row r="15" spans="1:20">
      <c r="A15" s="15" t="s">
        <v>357</v>
      </c>
      <c r="B15" s="17" t="n">
        <v>2863</v>
      </c>
      <c r="C15" s="18">
        <f>(2535.0/B15*100)</f>
        <v/>
      </c>
      <c r="D15" s="19" t="n">
        <v>328</v>
      </c>
      <c r="E15" s="18" t="n">
        <v>39.99674521</v>
      </c>
      <c r="F15" s="20" t="n">
        <v>2.55245045</v>
      </c>
      <c r="G15" s="18" t="n">
        <v>10.69622359</v>
      </c>
      <c r="H15" s="20" t="n">
        <v>1.89330578</v>
      </c>
      <c r="I15" s="18" t="n">
        <v>34.47334743</v>
      </c>
      <c r="J15" s="20" t="n">
        <v>2.41900238</v>
      </c>
      <c r="K15" s="18" t="s">
        <v>349</v>
      </c>
      <c r="L15" s="20" t="s">
        <v>349</v>
      </c>
      <c r="M15" s="18" t="n">
        <v>5.04791337</v>
      </c>
      <c r="N15" s="20" t="n">
        <v>1.17660405</v>
      </c>
      <c r="O15" s="18" t="n">
        <v>0</v>
      </c>
      <c r="P15" s="20" t="n">
        <v>0</v>
      </c>
      <c r="Q15" s="18" t="n">
        <v>0</v>
      </c>
      <c r="R15" s="20" t="n">
        <v>0</v>
      </c>
      <c r="S15" s="18" t="n">
        <v>9.785770400000001</v>
      </c>
      <c r="T15" s="20" t="n">
        <v>1.79773865</v>
      </c>
    </row>
    <row r="16" spans="1:20">
      <c r="A16" s="15" t="s">
        <v>358</v>
      </c>
      <c r="B16" s="17" t="n">
        <v>3111</v>
      </c>
      <c r="C16" s="18">
        <f>(2745.0/B16*100)</f>
        <v/>
      </c>
      <c r="D16" s="19" t="n">
        <v>366</v>
      </c>
      <c r="E16" s="18" t="n">
        <v>27.95037975</v>
      </c>
      <c r="F16" s="20" t="n">
        <v>2.70283027</v>
      </c>
      <c r="G16" s="18" t="n">
        <v>7.98649784</v>
      </c>
      <c r="H16" s="20" t="n">
        <v>1.31670509</v>
      </c>
      <c r="I16" s="18" t="n">
        <v>41.11042664</v>
      </c>
      <c r="J16" s="20" t="n">
        <v>2.81930361</v>
      </c>
      <c r="K16" s="18" t="s">
        <v>349</v>
      </c>
      <c r="L16" s="20" t="s">
        <v>349</v>
      </c>
      <c r="M16" s="18" t="n">
        <v>6.41092087</v>
      </c>
      <c r="N16" s="20" t="n">
        <v>1.38530842</v>
      </c>
      <c r="O16" s="18" t="n">
        <v>0</v>
      </c>
      <c r="P16" s="20" t="n">
        <v>0</v>
      </c>
      <c r="Q16" s="18" t="n">
        <v>0</v>
      </c>
      <c r="R16" s="20" t="n">
        <v>0</v>
      </c>
      <c r="S16" s="18" t="n">
        <v>16.5417749</v>
      </c>
      <c r="T16" s="20" t="n">
        <v>2.06243854</v>
      </c>
    </row>
    <row r="17" spans="1:20">
      <c r="A17" s="15" t="s">
        <v>359</v>
      </c>
      <c r="B17" s="17" t="n">
        <v>3197</v>
      </c>
      <c r="C17" s="18">
        <f>(2836.0/B17*100)</f>
        <v/>
      </c>
      <c r="D17" s="19" t="n">
        <v>361</v>
      </c>
      <c r="E17" s="18" t="n">
        <v>24.80834221</v>
      </c>
      <c r="F17" s="20" t="n">
        <v>2.63478662</v>
      </c>
      <c r="G17" s="18" t="n">
        <v>9.71564487</v>
      </c>
      <c r="H17" s="20" t="n">
        <v>1.53622004</v>
      </c>
      <c r="I17" s="18" t="n">
        <v>38.34278621</v>
      </c>
      <c r="J17" s="20" t="n">
        <v>3.00206452</v>
      </c>
      <c r="K17" s="18" t="s">
        <v>349</v>
      </c>
      <c r="L17" s="20" t="s">
        <v>349</v>
      </c>
      <c r="M17" s="18" t="n">
        <v>3.990386</v>
      </c>
      <c r="N17" s="20" t="n">
        <v>1.17972916</v>
      </c>
      <c r="O17" s="18" t="n">
        <v>0</v>
      </c>
      <c r="P17" s="20" t="n">
        <v>0</v>
      </c>
      <c r="Q17" s="18" t="n">
        <v>0</v>
      </c>
      <c r="R17" s="20" t="n">
        <v>0</v>
      </c>
      <c r="S17" s="18" t="n">
        <v>23.14284071</v>
      </c>
      <c r="T17" s="20" t="n">
        <v>2.38954872</v>
      </c>
    </row>
    <row r="18" spans="1:20">
      <c r="A18" s="15" t="s">
        <v>360</v>
      </c>
      <c r="B18" s="17" t="n">
        <v>2706</v>
      </c>
      <c r="C18" s="18">
        <f>(2381.0/B18*100)</f>
        <v/>
      </c>
      <c r="D18" s="19" t="n">
        <v>325</v>
      </c>
      <c r="E18" s="18" t="n">
        <v>36.43369595</v>
      </c>
      <c r="F18" s="20" t="n">
        <v>2.90366601</v>
      </c>
      <c r="G18" s="18" t="n">
        <v>9.738779409999999</v>
      </c>
      <c r="H18" s="20" t="n">
        <v>1.51379428</v>
      </c>
      <c r="I18" s="18" t="n">
        <v>24.64799468</v>
      </c>
      <c r="J18" s="20" t="n">
        <v>2.55233711</v>
      </c>
      <c r="K18" s="18" t="s">
        <v>349</v>
      </c>
      <c r="L18" s="20" t="s">
        <v>349</v>
      </c>
      <c r="M18" s="18" t="n">
        <v>4.22737457</v>
      </c>
      <c r="N18" s="20" t="n">
        <v>1.33857776</v>
      </c>
      <c r="O18" s="18" t="n">
        <v>0</v>
      </c>
      <c r="P18" s="20" t="n">
        <v>0</v>
      </c>
      <c r="Q18" s="18" t="n">
        <v>0</v>
      </c>
      <c r="R18" s="20" t="n">
        <v>0</v>
      </c>
      <c r="S18" s="18" t="n">
        <v>24.95215539</v>
      </c>
      <c r="T18" s="20" t="n">
        <v>2.34766974</v>
      </c>
    </row>
    <row r="19" spans="1:20">
      <c r="A19" s="15" t="s">
        <v>361</v>
      </c>
      <c r="B19" s="17" t="n">
        <v>2850</v>
      </c>
      <c r="C19" s="18">
        <f>(2505.0/B19*100)</f>
        <v/>
      </c>
      <c r="D19" s="19" t="n">
        <v>345</v>
      </c>
      <c r="E19" s="18" t="n">
        <v>27.83888755</v>
      </c>
      <c r="F19" s="20" t="n">
        <v>2.35063757</v>
      </c>
      <c r="G19" s="18" t="n">
        <v>6.36697147</v>
      </c>
      <c r="H19" s="20" t="n">
        <v>1.4715652</v>
      </c>
      <c r="I19" s="18" t="n">
        <v>37.96905731</v>
      </c>
      <c r="J19" s="20" t="n">
        <v>2.14176996</v>
      </c>
      <c r="K19" s="18" t="s">
        <v>349</v>
      </c>
      <c r="L19" s="20" t="s">
        <v>349</v>
      </c>
      <c r="M19" s="18" t="n">
        <v>6.67394784</v>
      </c>
      <c r="N19" s="20" t="n">
        <v>1.54684857</v>
      </c>
      <c r="O19" s="18" t="n">
        <v>0</v>
      </c>
      <c r="P19" s="20" t="n">
        <v>0</v>
      </c>
      <c r="Q19" s="18" t="n">
        <v>0</v>
      </c>
      <c r="R19" s="20" t="n">
        <v>0</v>
      </c>
      <c r="S19" s="18" t="n">
        <v>21.15113583</v>
      </c>
      <c r="T19" s="20" t="n">
        <v>2.60074404</v>
      </c>
    </row>
    <row r="20" spans="1:20">
      <c r="A20" s="15" t="s">
        <v>362</v>
      </c>
      <c r="B20" s="17" t="n">
        <v>1741</v>
      </c>
      <c r="C20" s="18">
        <f>(1532.0/B20*100)</f>
        <v/>
      </c>
      <c r="D20" s="19" t="n">
        <v>209</v>
      </c>
      <c r="E20" s="18" t="n">
        <v>38.9196269</v>
      </c>
      <c r="F20" s="20" t="n">
        <v>3.4080781</v>
      </c>
      <c r="G20" s="18" t="n">
        <v>4.05217224</v>
      </c>
      <c r="H20" s="20" t="n">
        <v>1.30853348</v>
      </c>
      <c r="I20" s="18" t="n">
        <v>33.9254432</v>
      </c>
      <c r="J20" s="20" t="n">
        <v>3.36820765</v>
      </c>
      <c r="K20" s="18" t="s">
        <v>349</v>
      </c>
      <c r="L20" s="20" t="s">
        <v>349</v>
      </c>
      <c r="M20" s="18" t="n">
        <v>3.41651778</v>
      </c>
      <c r="N20" s="20" t="n">
        <v>1.27820439</v>
      </c>
      <c r="O20" s="18" t="n">
        <v>0</v>
      </c>
      <c r="P20" s="20" t="n">
        <v>0</v>
      </c>
      <c r="Q20" s="18" t="n">
        <v>0</v>
      </c>
      <c r="R20" s="20" t="n">
        <v>0</v>
      </c>
      <c r="S20" s="18" t="n">
        <v>19.68623988</v>
      </c>
      <c r="T20" s="20" t="n">
        <v>2.61691008</v>
      </c>
    </row>
    <row r="21" spans="1:20">
      <c r="A21" s="15" t="s">
        <v>363</v>
      </c>
      <c r="B21" s="17" t="n">
        <v>2833</v>
      </c>
      <c r="C21" s="18">
        <f>(2353.0/B21*100)</f>
        <v/>
      </c>
      <c r="D21" s="19" t="n">
        <v>480</v>
      </c>
      <c r="E21" s="18" t="n">
        <v>34.30696387</v>
      </c>
      <c r="F21" s="20" t="n">
        <v>2.2572776</v>
      </c>
      <c r="G21" s="18" t="n">
        <v>9.970070639999999</v>
      </c>
      <c r="H21" s="20" t="n">
        <v>1.19075461</v>
      </c>
      <c r="I21" s="18" t="n">
        <v>42.33836062</v>
      </c>
      <c r="J21" s="20" t="n">
        <v>2.29291876</v>
      </c>
      <c r="K21" s="18" t="s">
        <v>349</v>
      </c>
      <c r="L21" s="20" t="s">
        <v>349</v>
      </c>
      <c r="M21" s="18" t="n">
        <v>2.21481903</v>
      </c>
      <c r="N21" s="20" t="n">
        <v>0.73531723</v>
      </c>
      <c r="O21" s="18" t="n">
        <v>0.25459211</v>
      </c>
      <c r="P21" s="20" t="n">
        <v>0.25519237</v>
      </c>
      <c r="Q21" s="18" t="n">
        <v>0</v>
      </c>
      <c r="R21" s="20" t="n">
        <v>0</v>
      </c>
      <c r="S21" s="18" t="n">
        <v>10.91519373</v>
      </c>
      <c r="T21" s="20" t="n">
        <v>1.46968253</v>
      </c>
    </row>
    <row r="22" spans="1:20">
      <c r="A22" s="15" t="s">
        <v>364</v>
      </c>
      <c r="B22" s="17" t="n">
        <v>3667</v>
      </c>
      <c r="C22" s="18">
        <f>(3190.0/B22*100)</f>
        <v/>
      </c>
      <c r="D22" s="19" t="n">
        <v>477</v>
      </c>
      <c r="E22" s="18" t="n">
        <v>34.79653579</v>
      </c>
      <c r="F22" s="20" t="n">
        <v>2.83512378</v>
      </c>
      <c r="G22" s="18" t="n">
        <v>7.79539777</v>
      </c>
      <c r="H22" s="20" t="n">
        <v>1.49188722</v>
      </c>
      <c r="I22" s="18" t="n">
        <v>33.66654153</v>
      </c>
      <c r="J22" s="20" t="n">
        <v>2.30887651</v>
      </c>
      <c r="K22" s="18" t="s">
        <v>349</v>
      </c>
      <c r="L22" s="20" t="s">
        <v>349</v>
      </c>
      <c r="M22" s="18" t="n">
        <v>5.68987905</v>
      </c>
      <c r="N22" s="20" t="n">
        <v>1.10396326</v>
      </c>
      <c r="O22" s="18" t="n">
        <v>0</v>
      </c>
      <c r="P22" s="20" t="n">
        <v>0</v>
      </c>
      <c r="Q22" s="18" t="n">
        <v>0</v>
      </c>
      <c r="R22" s="20" t="n">
        <v>0</v>
      </c>
      <c r="S22" s="18" t="n">
        <v>18.05164586</v>
      </c>
      <c r="T22" s="20" t="n">
        <v>2.28808566</v>
      </c>
    </row>
    <row r="23" spans="1:20">
      <c r="A23" s="15" t="s">
        <v>365</v>
      </c>
      <c r="B23" s="17" t="n">
        <v>5792</v>
      </c>
      <c r="C23" s="18">
        <f>(5087.0/B23*100)</f>
        <v/>
      </c>
      <c r="D23" s="19" t="n">
        <v>705</v>
      </c>
      <c r="E23" s="18" t="n">
        <v>28.85262557</v>
      </c>
      <c r="F23" s="20" t="n">
        <v>2.82193158</v>
      </c>
      <c r="G23" s="18" t="n">
        <v>15.26390452</v>
      </c>
      <c r="H23" s="20" t="n">
        <v>1.69957376</v>
      </c>
      <c r="I23" s="18" t="n">
        <v>26.52929082</v>
      </c>
      <c r="J23" s="20" t="n">
        <v>2.6321804</v>
      </c>
      <c r="K23" s="18" t="s">
        <v>349</v>
      </c>
      <c r="L23" s="20" t="s">
        <v>349</v>
      </c>
      <c r="M23" s="18" t="n">
        <v>6.9582833</v>
      </c>
      <c r="N23" s="20" t="n">
        <v>1.22676636</v>
      </c>
      <c r="O23" s="18" t="n">
        <v>0</v>
      </c>
      <c r="P23" s="20" t="n">
        <v>0</v>
      </c>
      <c r="Q23" s="18" t="n">
        <v>0</v>
      </c>
      <c r="R23" s="20" t="n">
        <v>0</v>
      </c>
      <c r="S23" s="18" t="n">
        <v>22.39589579</v>
      </c>
      <c r="T23" s="20" t="n">
        <v>2.50162934</v>
      </c>
    </row>
    <row r="24" spans="1:20">
      <c r="A24" s="15" t="s">
        <v>366</v>
      </c>
      <c r="B24" s="17" t="n">
        <v>3309</v>
      </c>
      <c r="C24" s="18">
        <f>(2909.0/B24*100)</f>
        <v/>
      </c>
      <c r="D24" s="19" t="n">
        <v>400</v>
      </c>
      <c r="E24" s="18" t="n">
        <v>29.77741083</v>
      </c>
      <c r="F24" s="20" t="n">
        <v>2.33612102</v>
      </c>
      <c r="G24" s="18" t="n">
        <v>20.51138699</v>
      </c>
      <c r="H24" s="20" t="n">
        <v>2.06555063</v>
      </c>
      <c r="I24" s="18" t="n">
        <v>31.9048507</v>
      </c>
      <c r="J24" s="20" t="n">
        <v>2.5286355</v>
      </c>
      <c r="K24" s="18" t="s">
        <v>349</v>
      </c>
      <c r="L24" s="20" t="s">
        <v>349</v>
      </c>
      <c r="M24" s="18" t="n">
        <v>3.33398088</v>
      </c>
      <c r="N24" s="20" t="n">
        <v>0.90597615</v>
      </c>
      <c r="O24" s="18" t="n">
        <v>0</v>
      </c>
      <c r="P24" s="20" t="n">
        <v>0</v>
      </c>
      <c r="Q24" s="18" t="n">
        <v>0</v>
      </c>
      <c r="R24" s="20" t="n">
        <v>0</v>
      </c>
      <c r="S24" s="18" t="n">
        <v>14.47237059</v>
      </c>
      <c r="T24" s="20" t="n">
        <v>1.82054479</v>
      </c>
    </row>
    <row r="25" spans="1:20">
      <c r="A25" s="15" t="s">
        <v>367</v>
      </c>
      <c r="B25" s="17" t="n">
        <v>2669</v>
      </c>
      <c r="C25" s="18">
        <f>(2338.0/B25*100)</f>
        <v/>
      </c>
      <c r="D25" s="19" t="n">
        <v>331</v>
      </c>
      <c r="E25" s="18" t="n">
        <v>20.68584328</v>
      </c>
      <c r="F25" s="20" t="n">
        <v>2.38538505</v>
      </c>
      <c r="G25" s="18" t="n">
        <v>6.94209877</v>
      </c>
      <c r="H25" s="20" t="n">
        <v>1.60543401</v>
      </c>
      <c r="I25" s="18" t="n">
        <v>53.78243275</v>
      </c>
      <c r="J25" s="20" t="n">
        <v>3.16211023</v>
      </c>
      <c r="K25" s="18" t="s">
        <v>349</v>
      </c>
      <c r="L25" s="20" t="s">
        <v>349</v>
      </c>
      <c r="M25" s="18" t="n">
        <v>3.79089239</v>
      </c>
      <c r="N25" s="20" t="n">
        <v>1.15698231</v>
      </c>
      <c r="O25" s="18" t="n">
        <v>0</v>
      </c>
      <c r="P25" s="20" t="n">
        <v>0</v>
      </c>
      <c r="Q25" s="18" t="n">
        <v>0</v>
      </c>
      <c r="R25" s="20" t="n">
        <v>0</v>
      </c>
      <c r="S25" s="18" t="n">
        <v>14.7987328</v>
      </c>
      <c r="T25" s="20" t="n">
        <v>2.11666444</v>
      </c>
    </row>
    <row r="26" spans="1:20">
      <c r="A26" s="15" t="s">
        <v>368</v>
      </c>
      <c r="B26" s="17" t="n">
        <v>2419</v>
      </c>
      <c r="C26" s="18">
        <f>(2127.0/B26*100)</f>
        <v/>
      </c>
      <c r="D26" s="19" t="n">
        <v>292</v>
      </c>
      <c r="E26" s="18" t="n">
        <v>46.22347801</v>
      </c>
      <c r="F26" s="20" t="n">
        <v>3.08473927</v>
      </c>
      <c r="G26" s="18" t="n">
        <v>20.7796421</v>
      </c>
      <c r="H26" s="20" t="n">
        <v>2.55410592</v>
      </c>
      <c r="I26" s="18" t="n">
        <v>16.7307894</v>
      </c>
      <c r="J26" s="20" t="n">
        <v>2.23603362</v>
      </c>
      <c r="K26" s="18" t="s">
        <v>349</v>
      </c>
      <c r="L26" s="20" t="s">
        <v>349</v>
      </c>
      <c r="M26" s="18" t="n">
        <v>3.60464023</v>
      </c>
      <c r="N26" s="20" t="n">
        <v>1.10700913</v>
      </c>
      <c r="O26" s="18" t="n">
        <v>0</v>
      </c>
      <c r="P26" s="20" t="n">
        <v>0</v>
      </c>
      <c r="Q26" s="18" t="n">
        <v>0</v>
      </c>
      <c r="R26" s="20" t="n">
        <v>0</v>
      </c>
      <c r="S26" s="18" t="n">
        <v>12.66145026</v>
      </c>
      <c r="T26" s="20" t="n">
        <v>1.89397002</v>
      </c>
    </row>
    <row r="27" spans="1:20">
      <c r="A27" s="15" t="s">
        <v>369</v>
      </c>
      <c r="B27" s="17" t="n">
        <v>2683</v>
      </c>
      <c r="C27" s="18">
        <f>(2359.0/B27*100)</f>
        <v/>
      </c>
      <c r="D27" s="19" t="n">
        <v>324</v>
      </c>
      <c r="E27" s="18" t="n">
        <v>27.13758719</v>
      </c>
      <c r="F27" s="20" t="n">
        <v>2.40971305</v>
      </c>
      <c r="G27" s="18" t="n">
        <v>18.25613761</v>
      </c>
      <c r="H27" s="20" t="n">
        <v>1.99621615</v>
      </c>
      <c r="I27" s="18" t="n">
        <v>34.96989146</v>
      </c>
      <c r="J27" s="20" t="n">
        <v>2.77038765</v>
      </c>
      <c r="K27" s="18" t="s">
        <v>349</v>
      </c>
      <c r="L27" s="20" t="s">
        <v>349</v>
      </c>
      <c r="M27" s="18" t="n">
        <v>3.79251728</v>
      </c>
      <c r="N27" s="20" t="n">
        <v>0.96353385</v>
      </c>
      <c r="O27" s="18" t="n">
        <v>0.30823023</v>
      </c>
      <c r="P27" s="20" t="n">
        <v>0.304598</v>
      </c>
      <c r="Q27" s="18" t="n">
        <v>0</v>
      </c>
      <c r="R27" s="20" t="n">
        <v>0</v>
      </c>
      <c r="S27" s="18" t="n">
        <v>15.53563623</v>
      </c>
      <c r="T27" s="20" t="n">
        <v>2.06658163</v>
      </c>
    </row>
    <row r="28" spans="1:20">
      <c r="A28" s="15" t="s">
        <v>370</v>
      </c>
      <c r="B28" s="17" t="n">
        <v>3803</v>
      </c>
      <c r="C28" s="18">
        <f>(3386.0/B28*100)</f>
        <v/>
      </c>
      <c r="D28" s="19" t="n">
        <v>417</v>
      </c>
      <c r="E28" s="18" t="n">
        <v>63.75624354</v>
      </c>
      <c r="F28" s="20" t="n">
        <v>2.49101296</v>
      </c>
      <c r="G28" s="18" t="n">
        <v>5.58101428</v>
      </c>
      <c r="H28" s="20" t="n">
        <v>1.20884642</v>
      </c>
      <c r="I28" s="18" t="n">
        <v>17.4153691</v>
      </c>
      <c r="J28" s="20" t="n">
        <v>2.2339573</v>
      </c>
      <c r="K28" s="18" t="s">
        <v>349</v>
      </c>
      <c r="L28" s="20" t="s">
        <v>349</v>
      </c>
      <c r="M28" s="18" t="n">
        <v>2.54739022</v>
      </c>
      <c r="N28" s="20" t="n">
        <v>1.01310016</v>
      </c>
      <c r="O28" s="18" t="n">
        <v>0</v>
      </c>
      <c r="P28" s="20" t="n">
        <v>0</v>
      </c>
      <c r="Q28" s="18" t="n">
        <v>0</v>
      </c>
      <c r="R28" s="20" t="n">
        <v>0</v>
      </c>
      <c r="S28" s="18" t="n">
        <v>10.69998286</v>
      </c>
      <c r="T28" s="20" t="n">
        <v>1.69929952</v>
      </c>
    </row>
    <row r="29" spans="1:20">
      <c r="A29" s="15" t="s">
        <v>371</v>
      </c>
      <c r="B29" s="17" t="n">
        <v>2700</v>
      </c>
      <c r="C29" s="18">
        <f>(2327.0/B29*100)</f>
        <v/>
      </c>
      <c r="D29" s="19" t="n">
        <v>373</v>
      </c>
      <c r="E29" s="18" t="n">
        <v>30.74858877</v>
      </c>
      <c r="F29" s="20" t="n">
        <v>2.19295139</v>
      </c>
      <c r="G29" s="18" t="n">
        <v>4.83726248</v>
      </c>
      <c r="H29" s="20" t="n">
        <v>1.04490332</v>
      </c>
      <c r="I29" s="18" t="n">
        <v>54.28123367</v>
      </c>
      <c r="J29" s="20" t="n">
        <v>2.39714938</v>
      </c>
      <c r="K29" s="18" t="s">
        <v>349</v>
      </c>
      <c r="L29" s="20" t="s">
        <v>349</v>
      </c>
      <c r="M29" s="18" t="n">
        <v>3.03830626</v>
      </c>
      <c r="N29" s="20" t="n">
        <v>1.11786723</v>
      </c>
      <c r="O29" s="18" t="n">
        <v>0</v>
      </c>
      <c r="P29" s="20" t="n">
        <v>0</v>
      </c>
      <c r="Q29" s="18" t="n">
        <v>0</v>
      </c>
      <c r="R29" s="20" t="n">
        <v>0</v>
      </c>
      <c r="S29" s="18" t="n">
        <v>7.09460882</v>
      </c>
      <c r="T29" s="20" t="n">
        <v>1.41108668</v>
      </c>
    </row>
    <row r="30" spans="1:20">
      <c r="A30" s="15" t="s">
        <v>372</v>
      </c>
      <c r="B30" s="17" t="n">
        <v>2257</v>
      </c>
      <c r="C30" s="18">
        <f>(1982.0/B30*100)</f>
        <v/>
      </c>
      <c r="D30" s="19" t="n">
        <v>275</v>
      </c>
      <c r="E30" s="18" t="n">
        <v>29.97332571</v>
      </c>
      <c r="F30" s="20" t="n">
        <v>3.10658585</v>
      </c>
      <c r="G30" s="18" t="n">
        <v>8.464045970000001</v>
      </c>
      <c r="H30" s="20" t="n">
        <v>1.64213561</v>
      </c>
      <c r="I30" s="18" t="n">
        <v>42.48055808</v>
      </c>
      <c r="J30" s="20" t="n">
        <v>3.28387467</v>
      </c>
      <c r="K30" s="18" t="s">
        <v>349</v>
      </c>
      <c r="L30" s="20" t="s">
        <v>349</v>
      </c>
      <c r="M30" s="18" t="n">
        <v>4.23036119</v>
      </c>
      <c r="N30" s="20" t="n">
        <v>1.34918032</v>
      </c>
      <c r="O30" s="18" t="n">
        <v>0</v>
      </c>
      <c r="P30" s="20" t="n">
        <v>0</v>
      </c>
      <c r="Q30" s="18" t="n">
        <v>0</v>
      </c>
      <c r="R30" s="20" t="n">
        <v>0</v>
      </c>
      <c r="S30" s="18" t="n">
        <v>14.85170904</v>
      </c>
      <c r="T30" s="20" t="n">
        <v>2.08711103</v>
      </c>
    </row>
    <row r="31" spans="1:20">
      <c r="A31" s="15" t="s">
        <v>373</v>
      </c>
      <c r="B31" s="17" t="n">
        <v>2706</v>
      </c>
      <c r="C31" s="18">
        <f>(2392.0/B31*100)</f>
        <v/>
      </c>
      <c r="D31" s="19" t="n">
        <v>314</v>
      </c>
      <c r="E31" s="18" t="n">
        <v>28.59379212</v>
      </c>
      <c r="F31" s="20" t="n">
        <v>2.55281302</v>
      </c>
      <c r="G31" s="18" t="n">
        <v>6.91872083</v>
      </c>
      <c r="H31" s="20" t="n">
        <v>1.42879941</v>
      </c>
      <c r="I31" s="18" t="n">
        <v>44.47130386</v>
      </c>
      <c r="J31" s="20" t="n">
        <v>2.76428399</v>
      </c>
      <c r="K31" s="18" t="s">
        <v>349</v>
      </c>
      <c r="L31" s="20" t="s">
        <v>349</v>
      </c>
      <c r="M31" s="18" t="n">
        <v>7.9359584</v>
      </c>
      <c r="N31" s="20" t="n">
        <v>1.5834577</v>
      </c>
      <c r="O31" s="18" t="n">
        <v>0</v>
      </c>
      <c r="P31" s="20" t="n">
        <v>0</v>
      </c>
      <c r="Q31" s="18" t="n">
        <v>0</v>
      </c>
      <c r="R31" s="20" t="n">
        <v>0</v>
      </c>
      <c r="S31" s="18" t="n">
        <v>12.08022479</v>
      </c>
      <c r="T31" s="20" t="n">
        <v>1.79347122</v>
      </c>
    </row>
    <row r="32" spans="1:20">
      <c r="A32" s="15" t="s">
        <v>374</v>
      </c>
      <c r="B32" s="17" t="n">
        <v>2209</v>
      </c>
      <c r="C32" s="18">
        <f>(1851.0/B32*100)</f>
        <v/>
      </c>
      <c r="D32" s="19" t="n">
        <v>358</v>
      </c>
      <c r="E32" s="18" t="n">
        <v>25.6707201</v>
      </c>
      <c r="F32" s="20" t="n">
        <v>2.12140826</v>
      </c>
      <c r="G32" s="18" t="n">
        <v>10.3163939</v>
      </c>
      <c r="H32" s="20" t="n">
        <v>1.41119744</v>
      </c>
      <c r="I32" s="18" t="n">
        <v>44.2329375</v>
      </c>
      <c r="J32" s="20" t="n">
        <v>2.64171411</v>
      </c>
      <c r="K32" s="18" t="s">
        <v>349</v>
      </c>
      <c r="L32" s="20" t="s">
        <v>349</v>
      </c>
      <c r="M32" s="18" t="n">
        <v>5.79176298</v>
      </c>
      <c r="N32" s="20" t="n">
        <v>1.08951207</v>
      </c>
      <c r="O32" s="18" t="n">
        <v>1.18156917</v>
      </c>
      <c r="P32" s="20" t="n">
        <v>1.24520763</v>
      </c>
      <c r="Q32" s="18" t="n">
        <v>0</v>
      </c>
      <c r="R32" s="20" t="n">
        <v>0</v>
      </c>
      <c r="S32" s="18" t="n">
        <v>12.80661635</v>
      </c>
      <c r="T32" s="20" t="n">
        <v>1.68847781</v>
      </c>
    </row>
    <row r="33" spans="1:20">
      <c r="A33" s="15" t="s">
        <v>375</v>
      </c>
      <c r="B33" s="17" t="n">
        <v>3651</v>
      </c>
      <c r="C33" s="18">
        <f>(3225.0/B33*100)</f>
        <v/>
      </c>
      <c r="D33" s="19" t="n">
        <v>426</v>
      </c>
      <c r="E33" s="18" t="n">
        <v>29.33102104</v>
      </c>
      <c r="F33" s="20" t="n">
        <v>2.52021547</v>
      </c>
      <c r="G33" s="18" t="n">
        <v>16.74559444</v>
      </c>
      <c r="H33" s="20" t="n">
        <v>2.275654</v>
      </c>
      <c r="I33" s="18" t="n">
        <v>29.08087467</v>
      </c>
      <c r="J33" s="20" t="n">
        <v>2.92137177</v>
      </c>
      <c r="K33" s="18" t="s">
        <v>349</v>
      </c>
      <c r="L33" s="20" t="s">
        <v>349</v>
      </c>
      <c r="M33" s="18" t="n">
        <v>3.75465336</v>
      </c>
      <c r="N33" s="20" t="n">
        <v>1.15302559</v>
      </c>
      <c r="O33" s="18" t="n">
        <v>0</v>
      </c>
      <c r="P33" s="20" t="n">
        <v>0</v>
      </c>
      <c r="Q33" s="18" t="n">
        <v>0</v>
      </c>
      <c r="R33" s="20" t="n">
        <v>0</v>
      </c>
      <c r="S33" s="18" t="n">
        <v>21.08785649</v>
      </c>
      <c r="T33" s="20" t="n">
        <v>2.55661671</v>
      </c>
    </row>
    <row r="34" spans="1:20">
      <c r="A34" s="15" t="s">
        <v>376</v>
      </c>
      <c r="B34" s="17" t="n">
        <v>3035</v>
      </c>
      <c r="C34" s="18">
        <f>(2657.0/B34*100)</f>
        <v/>
      </c>
      <c r="D34" s="19" t="n">
        <v>378</v>
      </c>
      <c r="E34" s="18" t="n">
        <v>36.38664758</v>
      </c>
      <c r="F34" s="20" t="n">
        <v>2.68771055</v>
      </c>
      <c r="G34" s="18" t="n">
        <v>22.09030948</v>
      </c>
      <c r="H34" s="20" t="n">
        <v>2.11569384</v>
      </c>
      <c r="I34" s="18" t="n">
        <v>14.49730808</v>
      </c>
      <c r="J34" s="20" t="n">
        <v>1.50725869</v>
      </c>
      <c r="K34" s="18" t="s">
        <v>349</v>
      </c>
      <c r="L34" s="20" t="s">
        <v>349</v>
      </c>
      <c r="M34" s="18" t="n">
        <v>3.90508685</v>
      </c>
      <c r="N34" s="20" t="n">
        <v>0.85997309</v>
      </c>
      <c r="O34" s="18" t="n">
        <v>0</v>
      </c>
      <c r="P34" s="20" t="n">
        <v>0</v>
      </c>
      <c r="Q34" s="18" t="n">
        <v>0</v>
      </c>
      <c r="R34" s="20" t="n">
        <v>0</v>
      </c>
      <c r="S34" s="18" t="n">
        <v>23.12064801</v>
      </c>
      <c r="T34" s="20" t="n">
        <v>2.39769527</v>
      </c>
    </row>
    <row r="35" spans="1:20">
      <c r="A35" s="15" t="s">
        <v>377</v>
      </c>
      <c r="B35" s="17" t="n">
        <v>2901</v>
      </c>
      <c r="C35" s="18">
        <f>(2554.0/B35*100)</f>
        <v/>
      </c>
      <c r="D35" s="19" t="n">
        <v>347</v>
      </c>
      <c r="E35" s="18" t="n">
        <v>25.30671983</v>
      </c>
      <c r="F35" s="20" t="n">
        <v>2.21264554</v>
      </c>
      <c r="G35" s="18" t="n">
        <v>21.13051235</v>
      </c>
      <c r="H35" s="20" t="n">
        <v>2.61619471</v>
      </c>
      <c r="I35" s="18" t="n">
        <v>33.25180632</v>
      </c>
      <c r="J35" s="20" t="n">
        <v>2.70553663</v>
      </c>
      <c r="K35" s="18" t="s">
        <v>349</v>
      </c>
      <c r="L35" s="20" t="s">
        <v>349</v>
      </c>
      <c r="M35" s="18" t="n">
        <v>5.46191591</v>
      </c>
      <c r="N35" s="20" t="n">
        <v>1.3872604</v>
      </c>
      <c r="O35" s="18" t="n">
        <v>0</v>
      </c>
      <c r="P35" s="20" t="n">
        <v>0</v>
      </c>
      <c r="Q35" s="18" t="n">
        <v>0</v>
      </c>
      <c r="R35" s="20" t="n">
        <v>0</v>
      </c>
      <c r="S35" s="18" t="n">
        <v>14.84904558</v>
      </c>
      <c r="T35" s="20" t="n">
        <v>1.9582967</v>
      </c>
    </row>
    <row r="36" spans="1:20">
      <c r="A36" s="15" t="s">
        <v>378</v>
      </c>
      <c r="B36" s="17" t="n">
        <v>3404</v>
      </c>
      <c r="C36" s="18">
        <f>(2991.0/B36*100)</f>
        <v/>
      </c>
      <c r="D36" s="19" t="n">
        <v>413</v>
      </c>
      <c r="E36" s="18" t="n">
        <v>41.25593194</v>
      </c>
      <c r="F36" s="20" t="n">
        <v>2.41162198</v>
      </c>
      <c r="G36" s="18" t="n">
        <v>9.02436771</v>
      </c>
      <c r="H36" s="20" t="n">
        <v>1.45965217</v>
      </c>
      <c r="I36" s="18" t="n">
        <v>29.29935771</v>
      </c>
      <c r="J36" s="20" t="n">
        <v>2.35830567</v>
      </c>
      <c r="K36" s="18" t="s">
        <v>349</v>
      </c>
      <c r="L36" s="20" t="s">
        <v>349</v>
      </c>
      <c r="M36" s="18" t="n">
        <v>7.26290403</v>
      </c>
      <c r="N36" s="20" t="n">
        <v>1.33070359</v>
      </c>
      <c r="O36" s="18" t="n">
        <v>0</v>
      </c>
      <c r="P36" s="20" t="n">
        <v>0</v>
      </c>
      <c r="Q36" s="18" t="n">
        <v>0</v>
      </c>
      <c r="R36" s="20" t="n">
        <v>0</v>
      </c>
      <c r="S36" s="18" t="n">
        <v>13.15743861</v>
      </c>
      <c r="T36" s="20" t="n">
        <v>1.68813856</v>
      </c>
    </row>
    <row r="37" spans="1:20">
      <c r="A37" s="15" t="s">
        <v>379</v>
      </c>
      <c r="B37" s="17" t="n">
        <v>2731</v>
      </c>
      <c r="C37" s="18">
        <f>(2416.0/B37*100)</f>
        <v/>
      </c>
      <c r="D37" s="19" t="n">
        <v>315</v>
      </c>
      <c r="E37" s="18" t="n">
        <v>19.72078376</v>
      </c>
      <c r="F37" s="20" t="n">
        <v>2.38426109</v>
      </c>
      <c r="G37" s="18" t="n">
        <v>7.43657503</v>
      </c>
      <c r="H37" s="20" t="n">
        <v>1.4827067</v>
      </c>
      <c r="I37" s="18" t="n">
        <v>39.98154576</v>
      </c>
      <c r="J37" s="20" t="n">
        <v>3.19681543</v>
      </c>
      <c r="K37" s="18" t="s">
        <v>349</v>
      </c>
      <c r="L37" s="20" t="s">
        <v>349</v>
      </c>
      <c r="M37" s="18" t="n">
        <v>11.2508836</v>
      </c>
      <c r="N37" s="20" t="n">
        <v>1.76961848</v>
      </c>
      <c r="O37" s="18" t="n">
        <v>0</v>
      </c>
      <c r="P37" s="20" t="n">
        <v>0</v>
      </c>
      <c r="Q37" s="18" t="n">
        <v>0</v>
      </c>
      <c r="R37" s="20" t="n">
        <v>0</v>
      </c>
      <c r="S37" s="18" t="n">
        <v>21.61021186</v>
      </c>
      <c r="T37" s="20" t="n">
        <v>2.35272154</v>
      </c>
    </row>
    <row r="38" spans="1:20">
      <c r="A38" s="15" t="s">
        <v>380</v>
      </c>
      <c r="B38" s="17" t="n">
        <v>2807</v>
      </c>
      <c r="C38" s="18">
        <f>(2335.0/B38*100)</f>
        <v/>
      </c>
      <c r="D38" s="19" t="n">
        <v>472</v>
      </c>
      <c r="E38" s="18" t="n">
        <v>19.55742</v>
      </c>
      <c r="F38" s="20" t="n">
        <v>2.20668216</v>
      </c>
      <c r="G38" s="18" t="n">
        <v>22.15826841</v>
      </c>
      <c r="H38" s="20" t="n">
        <v>2.17515249</v>
      </c>
      <c r="I38" s="18" t="n">
        <v>37.53437255</v>
      </c>
      <c r="J38" s="20" t="n">
        <v>2.79133203</v>
      </c>
      <c r="K38" s="18" t="s">
        <v>349</v>
      </c>
      <c r="L38" s="20" t="s">
        <v>349</v>
      </c>
      <c r="M38" s="18" t="n">
        <v>3.39282321</v>
      </c>
      <c r="N38" s="20" t="n">
        <v>0.82558379</v>
      </c>
      <c r="O38" s="18" t="n">
        <v>0</v>
      </c>
      <c r="P38" s="20" t="n">
        <v>0</v>
      </c>
      <c r="Q38" s="18" t="n">
        <v>0</v>
      </c>
      <c r="R38" s="20" t="n">
        <v>0</v>
      </c>
      <c r="S38" s="18" t="n">
        <v>17.35711583</v>
      </c>
      <c r="T38" s="20" t="n">
        <v>2.55709583</v>
      </c>
    </row>
    <row r="39" spans="1:20">
      <c r="A39" s="15" t="s">
        <v>381</v>
      </c>
      <c r="B39" s="17" t="n">
        <v>2938</v>
      </c>
      <c r="C39" s="18">
        <f>(2570.0/B39*100)</f>
        <v/>
      </c>
      <c r="D39" s="19" t="n">
        <v>368</v>
      </c>
      <c r="E39" s="18" t="n">
        <v>44.44896982</v>
      </c>
      <c r="F39" s="20" t="n">
        <v>2.68916342</v>
      </c>
      <c r="G39" s="18" t="n">
        <v>10.32680352</v>
      </c>
      <c r="H39" s="20" t="n">
        <v>1.85571102</v>
      </c>
      <c r="I39" s="18" t="n">
        <v>18.38047767</v>
      </c>
      <c r="J39" s="20" t="n">
        <v>2.59658733</v>
      </c>
      <c r="K39" s="18" t="s">
        <v>349</v>
      </c>
      <c r="L39" s="20" t="s">
        <v>349</v>
      </c>
      <c r="M39" s="18" t="n">
        <v>2.50421363</v>
      </c>
      <c r="N39" s="20" t="n">
        <v>0.72990104</v>
      </c>
      <c r="O39" s="18" t="n">
        <v>0</v>
      </c>
      <c r="P39" s="20" t="n">
        <v>0</v>
      </c>
      <c r="Q39" s="18" t="n">
        <v>0</v>
      </c>
      <c r="R39" s="20" t="n">
        <v>0</v>
      </c>
      <c r="S39" s="18" t="n">
        <v>24.33953537</v>
      </c>
      <c r="T39" s="20" t="n">
        <v>2.09397079</v>
      </c>
    </row>
    <row r="40" spans="1:20">
      <c r="A40" s="15" t="s">
        <v>382</v>
      </c>
      <c r="B40" s="17" t="n">
        <v>6922</v>
      </c>
      <c r="C40" s="18">
        <f>(6059.0/B40*100)</f>
        <v/>
      </c>
      <c r="D40" s="19" t="n">
        <v>863</v>
      </c>
      <c r="E40" s="18" t="n">
        <v>32.81001821</v>
      </c>
      <c r="F40" s="20" t="n">
        <v>2.27959346</v>
      </c>
      <c r="G40" s="18" t="n">
        <v>8.109386150000001</v>
      </c>
      <c r="H40" s="20" t="n">
        <v>1.21044966</v>
      </c>
      <c r="I40" s="18" t="n">
        <v>41.86358938</v>
      </c>
      <c r="J40" s="20" t="n">
        <v>2.1149316</v>
      </c>
      <c r="K40" s="18" t="s">
        <v>349</v>
      </c>
      <c r="L40" s="20" t="s">
        <v>349</v>
      </c>
      <c r="M40" s="18" t="n">
        <v>4.42502094</v>
      </c>
      <c r="N40" s="20" t="n">
        <v>0.97569578</v>
      </c>
      <c r="O40" s="18" t="n">
        <v>0.36614911</v>
      </c>
      <c r="P40" s="20" t="n">
        <v>0.38102644</v>
      </c>
      <c r="Q40" s="18" t="n">
        <v>0</v>
      </c>
      <c r="R40" s="20" t="n">
        <v>0</v>
      </c>
      <c r="S40" s="18" t="n">
        <v>12.4258362</v>
      </c>
      <c r="T40" s="20" t="n">
        <v>1.79100011</v>
      </c>
    </row>
    <row r="41" spans="1:20">
      <c r="A41" s="15" t="s">
        <v>383</v>
      </c>
      <c r="B41" s="17" t="n">
        <v>2854</v>
      </c>
      <c r="C41" s="18">
        <f>(2507.0/B41*100)</f>
        <v/>
      </c>
      <c r="D41" s="19" t="n">
        <v>347</v>
      </c>
      <c r="E41" s="18" t="n">
        <v>49.3242043</v>
      </c>
      <c r="F41" s="20" t="n">
        <v>2.76005742</v>
      </c>
      <c r="G41" s="18" t="n">
        <v>9.589248919999999</v>
      </c>
      <c r="H41" s="20" t="n">
        <v>1.49023826</v>
      </c>
      <c r="I41" s="18" t="n">
        <v>35.30532817</v>
      </c>
      <c r="J41" s="20" t="n">
        <v>2.57929305</v>
      </c>
      <c r="K41" s="18" t="s">
        <v>349</v>
      </c>
      <c r="L41" s="20" t="s">
        <v>349</v>
      </c>
      <c r="M41" s="18" t="n">
        <v>1.52227448</v>
      </c>
      <c r="N41" s="20" t="n">
        <v>0.80461559</v>
      </c>
      <c r="O41" s="18" t="n">
        <v>0</v>
      </c>
      <c r="P41" s="20" t="n">
        <v>0</v>
      </c>
      <c r="Q41" s="18" t="n">
        <v>0</v>
      </c>
      <c r="R41" s="20" t="n">
        <v>0</v>
      </c>
      <c r="S41" s="18" t="n">
        <v>4.25894413</v>
      </c>
      <c r="T41" s="20" t="n">
        <v>0.97266526</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row>
    <row r="46" spans="1:20">
      <c r="A46" s="15" t="s">
        <v>388</v>
      </c>
      <c r="B46" s="17" t="n">
        <v>12073</v>
      </c>
      <c r="C46" s="18">
        <f>(10844.0/B46*100)</f>
        <v/>
      </c>
      <c r="D46" s="19" t="n">
        <v>1229</v>
      </c>
      <c r="E46" s="18" t="n">
        <v>50.30326399</v>
      </c>
      <c r="F46" s="20" t="n">
        <v>1.78028822</v>
      </c>
      <c r="G46" s="18" t="n">
        <v>1.52027306</v>
      </c>
      <c r="H46" s="20" t="n">
        <v>0.41850609</v>
      </c>
      <c r="I46" s="18" t="n">
        <v>8.07449484</v>
      </c>
      <c r="J46" s="20" t="n">
        <v>1.11480598</v>
      </c>
      <c r="K46" s="18" t="s">
        <v>349</v>
      </c>
      <c r="L46" s="20" t="s">
        <v>349</v>
      </c>
      <c r="M46" s="18" t="n">
        <v>10.04359552</v>
      </c>
      <c r="N46" s="20" t="n">
        <v>1.10753699</v>
      </c>
      <c r="O46" s="18" t="n">
        <v>0</v>
      </c>
      <c r="P46" s="20" t="n">
        <v>0</v>
      </c>
      <c r="Q46" s="18" t="n">
        <v>0</v>
      </c>
      <c r="R46" s="20" t="n">
        <v>0</v>
      </c>
      <c r="S46" s="18" t="n">
        <v>30.05837259</v>
      </c>
      <c r="T46" s="20" t="n">
        <v>1.68072493</v>
      </c>
    </row>
    <row r="47" spans="1:20">
      <c r="A47" s="15" t="s">
        <v>389</v>
      </c>
      <c r="B47" s="17" t="n">
        <v>2823</v>
      </c>
      <c r="C47" s="18">
        <f>(2480.0/B47*100)</f>
        <v/>
      </c>
      <c r="D47" s="19" t="n">
        <v>343</v>
      </c>
      <c r="E47" s="18" t="n">
        <v>27.66578828</v>
      </c>
      <c r="F47" s="20" t="n">
        <v>2.76381254</v>
      </c>
      <c r="G47" s="18" t="n">
        <v>14.97471973</v>
      </c>
      <c r="H47" s="20" t="n">
        <v>2.05980927</v>
      </c>
      <c r="I47" s="18" t="n">
        <v>27.28999961</v>
      </c>
      <c r="J47" s="20" t="n">
        <v>2.5387801</v>
      </c>
      <c r="K47" s="18" t="s">
        <v>349</v>
      </c>
      <c r="L47" s="20" t="s">
        <v>349</v>
      </c>
      <c r="M47" s="18" t="n">
        <v>5.61146621</v>
      </c>
      <c r="N47" s="20" t="n">
        <v>1.3731309</v>
      </c>
      <c r="O47" s="18" t="n">
        <v>0</v>
      </c>
      <c r="P47" s="20" t="n">
        <v>0</v>
      </c>
      <c r="Q47" s="18" t="n">
        <v>0</v>
      </c>
      <c r="R47" s="20" t="n">
        <v>0</v>
      </c>
      <c r="S47" s="18" t="n">
        <v>24.45802618</v>
      </c>
      <c r="T47" s="20" t="n">
        <v>2.46452781</v>
      </c>
    </row>
    <row r="48" spans="1:20">
      <c r="A48" s="15" t="s">
        <v>390</v>
      </c>
      <c r="B48" s="17" t="n">
        <v>4682</v>
      </c>
      <c r="C48" s="18">
        <f>(4116.0/B48*100)</f>
        <v/>
      </c>
      <c r="D48" s="19" t="n">
        <v>566</v>
      </c>
      <c r="E48" s="18" t="n">
        <v>20.35851792</v>
      </c>
      <c r="F48" s="20" t="n">
        <v>2.04240569</v>
      </c>
      <c r="G48" s="18" t="n">
        <v>17.13941505</v>
      </c>
      <c r="H48" s="20" t="n">
        <v>1.9767397</v>
      </c>
      <c r="I48" s="18" t="n">
        <v>52.15200793</v>
      </c>
      <c r="J48" s="20" t="n">
        <v>2.62265212</v>
      </c>
      <c r="K48" s="18" t="s">
        <v>349</v>
      </c>
      <c r="L48" s="20" t="s">
        <v>349</v>
      </c>
      <c r="M48" s="18" t="n">
        <v>1.56647738</v>
      </c>
      <c r="N48" s="20" t="n">
        <v>0.67829151</v>
      </c>
      <c r="O48" s="18" t="n">
        <v>0</v>
      </c>
      <c r="P48" s="20" t="n">
        <v>0</v>
      </c>
      <c r="Q48" s="18" t="n">
        <v>0</v>
      </c>
      <c r="R48" s="20" t="n">
        <v>0</v>
      </c>
      <c r="S48" s="18" t="n">
        <v>8.783581720000001</v>
      </c>
      <c r="T48" s="20" t="n">
        <v>1.68514746</v>
      </c>
    </row>
    <row r="49" spans="1:20">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row>
    <row r="50" spans="1:20">
      <c r="A50" s="15" t="s">
        <v>392</v>
      </c>
      <c r="B50" s="17" t="n">
        <v>6158</v>
      </c>
      <c r="C50" s="18">
        <f>(5452.0/B50*100)</f>
        <v/>
      </c>
      <c r="D50" s="19" t="n">
        <v>706</v>
      </c>
      <c r="E50" s="18" t="n">
        <v>64.76222761</v>
      </c>
      <c r="F50" s="20" t="n">
        <v>2.17242601</v>
      </c>
      <c r="G50" s="18" t="n">
        <v>7.50339975</v>
      </c>
      <c r="H50" s="20" t="n">
        <v>1.40734299</v>
      </c>
      <c r="I50" s="18" t="n">
        <v>7.34932238</v>
      </c>
      <c r="J50" s="20" t="n">
        <v>1.22048522</v>
      </c>
      <c r="K50" s="18" t="s">
        <v>349</v>
      </c>
      <c r="L50" s="20" t="s">
        <v>349</v>
      </c>
      <c r="M50" s="18" t="n">
        <v>3.42335309</v>
      </c>
      <c r="N50" s="20" t="n">
        <v>0.94228936</v>
      </c>
      <c r="O50" s="18" t="n">
        <v>1.17947219</v>
      </c>
      <c r="P50" s="20" t="n">
        <v>0.53561885</v>
      </c>
      <c r="Q50" s="18" t="n">
        <v>0</v>
      </c>
      <c r="R50" s="20" t="n">
        <v>0</v>
      </c>
      <c r="S50" s="18" t="n">
        <v>15.78222498</v>
      </c>
      <c r="T50" s="20" t="n">
        <v>1.65495987</v>
      </c>
    </row>
    <row r="51" spans="1:20">
      <c r="A51" s="15" t="s">
        <v>393</v>
      </c>
      <c r="B51" s="17" t="n">
        <v>3494</v>
      </c>
      <c r="C51" s="18">
        <f>(3148.0/B51*100)</f>
        <v/>
      </c>
      <c r="D51" s="19" t="n">
        <v>346</v>
      </c>
      <c r="E51" s="18" t="n">
        <v>55.61184747</v>
      </c>
      <c r="F51" s="20" t="n">
        <v>2.97030627</v>
      </c>
      <c r="G51" s="18" t="n">
        <v>8.8554426</v>
      </c>
      <c r="H51" s="20" t="n">
        <v>1.62295393</v>
      </c>
      <c r="I51" s="18" t="n">
        <v>6.06495936</v>
      </c>
      <c r="J51" s="20" t="n">
        <v>1.72830689</v>
      </c>
      <c r="K51" s="18" t="s">
        <v>349</v>
      </c>
      <c r="L51" s="20" t="s">
        <v>349</v>
      </c>
      <c r="M51" s="18" t="n">
        <v>3.68528859</v>
      </c>
      <c r="N51" s="20" t="n">
        <v>1.0173179</v>
      </c>
      <c r="O51" s="18" t="n">
        <v>0</v>
      </c>
      <c r="P51" s="20" t="n">
        <v>0</v>
      </c>
      <c r="Q51" s="18" t="n">
        <v>0</v>
      </c>
      <c r="R51" s="20" t="n">
        <v>0</v>
      </c>
      <c r="S51" s="18" t="n">
        <v>25.78246197</v>
      </c>
      <c r="T51" s="20" t="n">
        <v>2.48940238</v>
      </c>
    </row>
    <row r="52" spans="1:20">
      <c r="A52" s="15" t="s">
        <v>394</v>
      </c>
      <c r="B52" s="17" t="n">
        <v>3013</v>
      </c>
      <c r="C52" s="18">
        <f>(2648.0/B52*100)</f>
        <v/>
      </c>
      <c r="D52" s="19" t="n">
        <v>365</v>
      </c>
      <c r="E52" s="18" t="n">
        <v>28.1666443</v>
      </c>
      <c r="F52" s="20" t="n">
        <v>2.46620516</v>
      </c>
      <c r="G52" s="18" t="n">
        <v>18.44408884</v>
      </c>
      <c r="H52" s="20" t="n">
        <v>2.36656461</v>
      </c>
      <c r="I52" s="18" t="n">
        <v>26.06061962</v>
      </c>
      <c r="J52" s="20" t="n">
        <v>2.42843487</v>
      </c>
      <c r="K52" s="18" t="s">
        <v>349</v>
      </c>
      <c r="L52" s="20" t="s">
        <v>349</v>
      </c>
      <c r="M52" s="18" t="n">
        <v>4.17728707</v>
      </c>
      <c r="N52" s="20" t="n">
        <v>1.07968885</v>
      </c>
      <c r="O52" s="18" t="n">
        <v>0</v>
      </c>
      <c r="P52" s="20" t="n">
        <v>0</v>
      </c>
      <c r="Q52" s="18" t="n">
        <v>0</v>
      </c>
      <c r="R52" s="20" t="n">
        <v>0</v>
      </c>
      <c r="S52" s="18" t="n">
        <v>23.15136017</v>
      </c>
      <c r="T52" s="20" t="n">
        <v>2.21843398</v>
      </c>
    </row>
    <row r="53" spans="1:20">
      <c r="A53" s="15" t="s">
        <v>395</v>
      </c>
      <c r="B53" s="17" t="n">
        <v>2760</v>
      </c>
      <c r="C53" s="18">
        <f>(2443.0/B53*100)</f>
        <v/>
      </c>
      <c r="D53" s="19" t="n">
        <v>317</v>
      </c>
      <c r="E53" s="18" t="n">
        <v>31.14232774</v>
      </c>
      <c r="F53" s="20" t="n">
        <v>2.66415644</v>
      </c>
      <c r="G53" s="18" t="n">
        <v>14.97036993</v>
      </c>
      <c r="H53" s="20" t="n">
        <v>2.18900839</v>
      </c>
      <c r="I53" s="18" t="n">
        <v>22.45122247</v>
      </c>
      <c r="J53" s="20" t="n">
        <v>2.20344257</v>
      </c>
      <c r="K53" s="18" t="s">
        <v>349</v>
      </c>
      <c r="L53" s="20" t="s">
        <v>349</v>
      </c>
      <c r="M53" s="18" t="n">
        <v>5.50412238</v>
      </c>
      <c r="N53" s="20" t="n">
        <v>1.4720562</v>
      </c>
      <c r="O53" s="18" t="n">
        <v>0</v>
      </c>
      <c r="P53" s="20" t="n">
        <v>0</v>
      </c>
      <c r="Q53" s="18" t="n">
        <v>0</v>
      </c>
      <c r="R53" s="20" t="n">
        <v>0</v>
      </c>
      <c r="S53" s="18" t="n">
        <v>25.93195749</v>
      </c>
      <c r="T53" s="20" t="n">
        <v>2.50666387</v>
      </c>
    </row>
    <row r="54" spans="1:20">
      <c r="A54" s="15" t="s">
        <v>396</v>
      </c>
      <c r="B54" s="17" t="n">
        <v>2474</v>
      </c>
      <c r="C54" s="18">
        <f>(2057.0/B54*100)</f>
        <v/>
      </c>
      <c r="D54" s="19" t="n">
        <v>417</v>
      </c>
      <c r="E54" s="18" t="n">
        <v>41.49044296</v>
      </c>
      <c r="F54" s="20" t="n">
        <v>2.82535383</v>
      </c>
      <c r="G54" s="18" t="n">
        <v>8.87579219</v>
      </c>
      <c r="H54" s="20" t="n">
        <v>1.37548302</v>
      </c>
      <c r="I54" s="18" t="n">
        <v>3.81062576</v>
      </c>
      <c r="J54" s="20" t="n">
        <v>0.92450913</v>
      </c>
      <c r="K54" s="18" t="s">
        <v>349</v>
      </c>
      <c r="L54" s="20" t="s">
        <v>349</v>
      </c>
      <c r="M54" s="18" t="n">
        <v>14.46232412</v>
      </c>
      <c r="N54" s="20" t="n">
        <v>2.20739722</v>
      </c>
      <c r="O54" s="18" t="n">
        <v>1.03497396</v>
      </c>
      <c r="P54" s="20" t="n">
        <v>1.13555983</v>
      </c>
      <c r="Q54" s="18" t="n">
        <v>0</v>
      </c>
      <c r="R54" s="20" t="n">
        <v>0</v>
      </c>
      <c r="S54" s="18" t="n">
        <v>30.32584101</v>
      </c>
      <c r="T54" s="20" t="n">
        <v>3.00787408</v>
      </c>
    </row>
    <row r="55" spans="1:20">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2675</v>
      </c>
      <c r="C56" s="18">
        <f>(2356.0/B56*100)</f>
        <v/>
      </c>
      <c r="D56" s="19" t="n">
        <v>319</v>
      </c>
      <c r="E56" s="18" t="n">
        <v>15.18867044</v>
      </c>
      <c r="F56" s="20" t="n">
        <v>1.78913846</v>
      </c>
      <c r="G56" s="18" t="n">
        <v>13.46206893</v>
      </c>
      <c r="H56" s="20" t="n">
        <v>1.68290684</v>
      </c>
      <c r="I56" s="18" t="n">
        <v>64.90665964999999</v>
      </c>
      <c r="J56" s="20" t="n">
        <v>2.1626495</v>
      </c>
      <c r="K56" s="18" t="s">
        <v>349</v>
      </c>
      <c r="L56" s="20" t="s">
        <v>349</v>
      </c>
      <c r="M56" s="18" t="n">
        <v>0.69472678</v>
      </c>
      <c r="N56" s="20" t="n">
        <v>0.49819914</v>
      </c>
      <c r="O56" s="18" t="n">
        <v>0.33763814</v>
      </c>
      <c r="P56" s="20" t="n">
        <v>0.33663479</v>
      </c>
      <c r="Q56" s="18" t="n">
        <v>0</v>
      </c>
      <c r="R56" s="20" t="n">
        <v>0</v>
      </c>
      <c r="S56" s="18" t="n">
        <v>5.41023606</v>
      </c>
      <c r="T56" s="20" t="n">
        <v>1.22052108</v>
      </c>
    </row>
    <row r="57" spans="1:20">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row>
    <row r="59" spans="1:20">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row>
    <row r="60" spans="1:20">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row>
    <row r="61" spans="1:20">
      <c r="A61" s="15" t="s">
        <v>403</v>
      </c>
      <c r="B61" s="17" t="n">
        <v>3201</v>
      </c>
      <c r="C61" s="18">
        <f>(2807.0/B61*100)</f>
        <v/>
      </c>
      <c r="D61" s="19" t="n">
        <v>394</v>
      </c>
      <c r="E61" s="18" t="n">
        <v>37.07862747</v>
      </c>
      <c r="F61" s="20" t="n">
        <v>3.22372139</v>
      </c>
      <c r="G61" s="18" t="n">
        <v>11.71957594</v>
      </c>
      <c r="H61" s="20" t="n">
        <v>1.8872743</v>
      </c>
      <c r="I61" s="18" t="n">
        <v>27.31516469</v>
      </c>
      <c r="J61" s="20" t="n">
        <v>2.50380575</v>
      </c>
      <c r="K61" s="18" t="s">
        <v>349</v>
      </c>
      <c r="L61" s="20" t="s">
        <v>349</v>
      </c>
      <c r="M61" s="18" t="n">
        <v>4.5221447</v>
      </c>
      <c r="N61" s="20" t="n">
        <v>1.10300794</v>
      </c>
      <c r="O61" s="18" t="n">
        <v>0</v>
      </c>
      <c r="P61" s="20" t="n">
        <v>0</v>
      </c>
      <c r="Q61" s="18" t="n">
        <v>0</v>
      </c>
      <c r="R61" s="20" t="n">
        <v>0</v>
      </c>
      <c r="S61" s="18" t="n">
        <v>19.36448721</v>
      </c>
      <c r="T61" s="20" t="n">
        <v>2.42112723</v>
      </c>
    </row>
    <row r="62" spans="1:20">
      <c r="A62" s="15" t="s">
        <v>404</v>
      </c>
      <c r="B62" s="17" t="n">
        <v>2230</v>
      </c>
      <c r="C62" s="18">
        <f>(1974.0/B62*100)</f>
        <v/>
      </c>
      <c r="D62" s="19" t="n">
        <v>256</v>
      </c>
      <c r="E62" s="18" t="n">
        <v>31.42185118</v>
      </c>
      <c r="F62" s="20" t="n">
        <v>3.02612091</v>
      </c>
      <c r="G62" s="18" t="n">
        <v>7.40633898</v>
      </c>
      <c r="H62" s="20" t="n">
        <v>1.76310082</v>
      </c>
      <c r="I62" s="18" t="n">
        <v>58.04237564</v>
      </c>
      <c r="J62" s="20" t="n">
        <v>3.10174866</v>
      </c>
      <c r="K62" s="18" t="s">
        <v>349</v>
      </c>
      <c r="L62" s="20" t="s">
        <v>349</v>
      </c>
      <c r="M62" s="18" t="n">
        <v>0</v>
      </c>
      <c r="N62" s="20" t="n">
        <v>0</v>
      </c>
      <c r="O62" s="18" t="n">
        <v>0</v>
      </c>
      <c r="P62" s="20" t="n">
        <v>0</v>
      </c>
      <c r="Q62" s="18" t="n">
        <v>0</v>
      </c>
      <c r="R62" s="20" t="n">
        <v>0</v>
      </c>
      <c r="S62" s="18" t="n">
        <v>3.12943419</v>
      </c>
      <c r="T62" s="20" t="n">
        <v>0.93184487</v>
      </c>
    </row>
    <row r="63" spans="1:20">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row>
    <row r="64" spans="1:20">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row>
    <row r="66" spans="1:20">
      <c r="A66" s="15" t="s">
        <v>408</v>
      </c>
      <c r="B66" s="17" t="n">
        <v>2771</v>
      </c>
      <c r="C66" s="18">
        <f>(2434.0/B66*100)</f>
        <v/>
      </c>
      <c r="D66" s="19" t="n">
        <v>337</v>
      </c>
      <c r="E66" s="18" t="n">
        <v>27.6859182</v>
      </c>
      <c r="F66" s="20" t="n">
        <v>2.10499521</v>
      </c>
      <c r="G66" s="18" t="n">
        <v>8.99532599</v>
      </c>
      <c r="H66" s="20" t="n">
        <v>1.65546121</v>
      </c>
      <c r="I66" s="18" t="n">
        <v>15.99714831</v>
      </c>
      <c r="J66" s="20" t="n">
        <v>1.8348789</v>
      </c>
      <c r="K66" s="18" t="s">
        <v>349</v>
      </c>
      <c r="L66" s="20" t="s">
        <v>349</v>
      </c>
      <c r="M66" s="18" t="n">
        <v>15.56947511</v>
      </c>
      <c r="N66" s="20" t="n">
        <v>1.95285794</v>
      </c>
      <c r="O66" s="18" t="n">
        <v>0.32435872</v>
      </c>
      <c r="P66" s="20" t="n">
        <v>0.32391734</v>
      </c>
      <c r="Q66" s="18" t="n">
        <v>0</v>
      </c>
      <c r="R66" s="20" t="n">
        <v>0</v>
      </c>
      <c r="S66" s="18" t="n">
        <v>31.42777366</v>
      </c>
      <c r="T66" s="20" t="n">
        <v>2.494158</v>
      </c>
    </row>
    <row r="67" spans="1:20">
      <c r="A67" s="15" t="s">
        <v>409</v>
      </c>
      <c r="B67" s="17" t="n">
        <v>3460</v>
      </c>
      <c r="C67" s="18">
        <f>(3081.0/B67*100)</f>
        <v/>
      </c>
      <c r="D67" s="19" t="n">
        <v>379</v>
      </c>
      <c r="E67" s="18" t="n">
        <v>55.26416822</v>
      </c>
      <c r="F67" s="20" t="n">
        <v>2.48101126</v>
      </c>
      <c r="G67" s="18" t="n">
        <v>4.28098235</v>
      </c>
      <c r="H67" s="20" t="n">
        <v>0.9492739100000001</v>
      </c>
      <c r="I67" s="18" t="n">
        <v>9.83389139</v>
      </c>
      <c r="J67" s="20" t="n">
        <v>1.579709</v>
      </c>
      <c r="K67" s="18" t="s">
        <v>349</v>
      </c>
      <c r="L67" s="20" t="s">
        <v>349</v>
      </c>
      <c r="M67" s="18" t="n">
        <v>5.09034985</v>
      </c>
      <c r="N67" s="20" t="n">
        <v>1.24976139</v>
      </c>
      <c r="O67" s="18" t="n">
        <v>0.20149711</v>
      </c>
      <c r="P67" s="20" t="n">
        <v>0.20074035</v>
      </c>
      <c r="Q67" s="18" t="n">
        <v>0</v>
      </c>
      <c r="R67" s="20" t="n">
        <v>0</v>
      </c>
      <c r="S67" s="18" t="n">
        <v>25.32911108</v>
      </c>
      <c r="T67" s="20" t="n">
        <v>2.27033878</v>
      </c>
    </row>
    <row r="68" spans="1:20">
      <c r="A68" s="15" t="s">
        <v>410</v>
      </c>
      <c r="B68" s="17" t="n">
        <v>6034</v>
      </c>
      <c r="C68" s="18">
        <f>(5047.0/B68*100)</f>
        <v/>
      </c>
      <c r="D68" s="19" t="n">
        <v>987</v>
      </c>
      <c r="E68" s="18" t="n">
        <v>47.99535253</v>
      </c>
      <c r="F68" s="20" t="n">
        <v>1.18221471</v>
      </c>
      <c r="G68" s="18" t="n">
        <v>10.38774612</v>
      </c>
      <c r="H68" s="20" t="n">
        <v>0.89868557</v>
      </c>
      <c r="I68" s="18" t="n">
        <v>17.71093272</v>
      </c>
      <c r="J68" s="20" t="n">
        <v>1.28054235</v>
      </c>
      <c r="K68" s="18" t="s">
        <v>349</v>
      </c>
      <c r="L68" s="20" t="s">
        <v>349</v>
      </c>
      <c r="M68" s="18" t="n">
        <v>4.93891541</v>
      </c>
      <c r="N68" s="20" t="n">
        <v>0.67109074</v>
      </c>
      <c r="O68" s="18" t="n">
        <v>0</v>
      </c>
      <c r="P68" s="20" t="n">
        <v>0</v>
      </c>
      <c r="Q68" s="18" t="n">
        <v>0</v>
      </c>
      <c r="R68" s="20" t="n">
        <v>0</v>
      </c>
      <c r="S68" s="18" t="n">
        <v>18.96705322</v>
      </c>
      <c r="T68" s="20" t="n">
        <v>1.08219554</v>
      </c>
    </row>
    <row r="69" spans="1:20">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row>
    <row r="70" spans="1:20">
      <c r="A70" s="15" t="s">
        <v>412</v>
      </c>
      <c r="B70" s="17" t="n">
        <v>3107</v>
      </c>
      <c r="C70" s="18">
        <f>(2751.0/B70*100)</f>
        <v/>
      </c>
      <c r="D70" s="19" t="n">
        <v>356</v>
      </c>
      <c r="E70" s="18" t="n">
        <v>20.61468917</v>
      </c>
      <c r="F70" s="20" t="n">
        <v>2.80271379</v>
      </c>
      <c r="G70" s="18" t="n">
        <v>28.67779147</v>
      </c>
      <c r="H70" s="20" t="n">
        <v>2.4042913</v>
      </c>
      <c r="I70" s="18" t="n">
        <v>27.4052117</v>
      </c>
      <c r="J70" s="20" t="n">
        <v>2.30264778</v>
      </c>
      <c r="K70" s="18" t="s">
        <v>349</v>
      </c>
      <c r="L70" s="20" t="s">
        <v>349</v>
      </c>
      <c r="M70" s="18" t="n">
        <v>3.97057561</v>
      </c>
      <c r="N70" s="20" t="n">
        <v>0.7816924200000001</v>
      </c>
      <c r="O70" s="18" t="n">
        <v>0.84242346</v>
      </c>
      <c r="P70" s="20" t="n">
        <v>0.40870637</v>
      </c>
      <c r="Q70" s="18" t="n">
        <v>0</v>
      </c>
      <c r="R70" s="20" t="n">
        <v>0</v>
      </c>
      <c r="S70" s="18" t="n">
        <v>18.48930859</v>
      </c>
      <c r="T70" s="20" t="n">
        <v>3.20851547</v>
      </c>
    </row>
    <row r="71" spans="1:20">
      <c r="A71" s="15" t="s">
        <v>413</v>
      </c>
      <c r="B71" s="17" t="n">
        <v>2973</v>
      </c>
      <c r="C71" s="18">
        <f>(2593.0/B71*100)</f>
        <v/>
      </c>
      <c r="D71" s="19" t="n">
        <v>380</v>
      </c>
      <c r="E71" s="18" t="n">
        <v>12.95914499</v>
      </c>
      <c r="F71" s="20" t="n">
        <v>1.65052171</v>
      </c>
      <c r="G71" s="18" t="n">
        <v>16.33514519</v>
      </c>
      <c r="H71" s="20" t="n">
        <v>1.76834001</v>
      </c>
      <c r="I71" s="18" t="n">
        <v>64.89157321</v>
      </c>
      <c r="J71" s="20" t="n">
        <v>2.15057762</v>
      </c>
      <c r="K71" s="18" t="s">
        <v>349</v>
      </c>
      <c r="L71" s="20" t="s">
        <v>349</v>
      </c>
      <c r="M71" s="18" t="n">
        <v>0.84402104</v>
      </c>
      <c r="N71" s="20" t="n">
        <v>0.41949117</v>
      </c>
      <c r="O71" s="18" t="n">
        <v>0</v>
      </c>
      <c r="P71" s="20" t="n">
        <v>0</v>
      </c>
      <c r="Q71" s="18" t="n">
        <v>0</v>
      </c>
      <c r="R71" s="20" t="n">
        <v>0</v>
      </c>
      <c r="S71" s="18" t="n">
        <v>4.97011558</v>
      </c>
      <c r="T71" s="20" t="n">
        <v>1.12320395</v>
      </c>
    </row>
    <row r="72" spans="1:20">
      <c r="A72" s="15" t="s">
        <v>414</v>
      </c>
      <c r="B72" s="17" t="n">
        <v>3819</v>
      </c>
      <c r="C72" s="18">
        <f>(3341.0/B72*100)</f>
        <v/>
      </c>
      <c r="D72" s="19" t="n">
        <v>478</v>
      </c>
      <c r="E72" s="18" t="n">
        <v>22.64518803</v>
      </c>
      <c r="F72" s="20" t="n">
        <v>2.12971563</v>
      </c>
      <c r="G72" s="18" t="n">
        <v>6.96510224</v>
      </c>
      <c r="H72" s="20" t="n">
        <v>1.12773053</v>
      </c>
      <c r="I72" s="18" t="n">
        <v>57.31792221</v>
      </c>
      <c r="J72" s="20" t="n">
        <v>2.44052181</v>
      </c>
      <c r="K72" s="18" t="s">
        <v>349</v>
      </c>
      <c r="L72" s="20" t="s">
        <v>349</v>
      </c>
      <c r="M72" s="18" t="n">
        <v>0.84519957</v>
      </c>
      <c r="N72" s="20" t="n">
        <v>0.40782497</v>
      </c>
      <c r="O72" s="18" t="n">
        <v>0</v>
      </c>
      <c r="P72" s="20" t="n">
        <v>0</v>
      </c>
      <c r="Q72" s="18" t="n">
        <v>0</v>
      </c>
      <c r="R72" s="20" t="n">
        <v>0</v>
      </c>
      <c r="S72" s="18" t="n">
        <v>12.22658795</v>
      </c>
      <c r="T72" s="20" t="n">
        <v>1.59807732</v>
      </c>
    </row>
    <row r="73" spans="1:20">
      <c r="A73" s="15" t="s">
        <v>415</v>
      </c>
      <c r="B73" s="17" t="n">
        <v>4652</v>
      </c>
      <c r="C73" s="18">
        <f>(4120.0/B73*100)</f>
        <v/>
      </c>
      <c r="D73" s="19" t="n">
        <v>532</v>
      </c>
      <c r="E73" s="18" t="n">
        <v>73.18390101</v>
      </c>
      <c r="F73" s="20" t="n">
        <v>2.21507941</v>
      </c>
      <c r="G73" s="18" t="n">
        <v>7.48862376</v>
      </c>
      <c r="H73" s="20" t="n">
        <v>1.26578732</v>
      </c>
      <c r="I73" s="18" t="n">
        <v>14.79441943</v>
      </c>
      <c r="J73" s="20" t="n">
        <v>1.82122901</v>
      </c>
      <c r="K73" s="18" t="s">
        <v>349</v>
      </c>
      <c r="L73" s="20" t="s">
        <v>349</v>
      </c>
      <c r="M73" s="18" t="n">
        <v>0.30695794</v>
      </c>
      <c r="N73" s="20" t="n">
        <v>0.26342948</v>
      </c>
      <c r="O73" s="18" t="n">
        <v>0.30923178</v>
      </c>
      <c r="P73" s="20" t="n">
        <v>0.309699</v>
      </c>
      <c r="Q73" s="18" t="n">
        <v>0</v>
      </c>
      <c r="R73" s="20" t="n">
        <v>0</v>
      </c>
      <c r="S73" s="18" t="n">
        <v>3.91686608</v>
      </c>
      <c r="T73" s="20" t="n">
        <v>0.86517031</v>
      </c>
    </row>
    <row r="74" spans="1:20">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row>
    <row r="75" spans="1:20">
      <c r="A75" s="15" t="s">
        <v>417</v>
      </c>
      <c r="B75" s="17" t="n">
        <v>2969</v>
      </c>
      <c r="C75" s="18">
        <f>(2631.0/B75*100)</f>
        <v/>
      </c>
      <c r="D75" s="19" t="n">
        <v>338</v>
      </c>
      <c r="E75" s="18" t="n">
        <v>35.86101156</v>
      </c>
      <c r="F75" s="20" t="n">
        <v>2.74244932</v>
      </c>
      <c r="G75" s="18" t="n">
        <v>6.21392617</v>
      </c>
      <c r="H75" s="20" t="n">
        <v>1.27017349</v>
      </c>
      <c r="I75" s="18" t="n">
        <v>3.94723706</v>
      </c>
      <c r="J75" s="20" t="n">
        <v>1.01255488</v>
      </c>
      <c r="K75" s="18" t="s">
        <v>349</v>
      </c>
      <c r="L75" s="20" t="s">
        <v>349</v>
      </c>
      <c r="M75" s="18" t="n">
        <v>10.9474379</v>
      </c>
      <c r="N75" s="20" t="n">
        <v>1.74347884</v>
      </c>
      <c r="O75" s="18" t="n">
        <v>0.27296605</v>
      </c>
      <c r="P75" s="20" t="n">
        <v>0.27068034</v>
      </c>
      <c r="Q75" s="18" t="n">
        <v>0</v>
      </c>
      <c r="R75" s="20" t="n">
        <v>0</v>
      </c>
      <c r="S75" s="18" t="n">
        <v>42.75742126</v>
      </c>
      <c r="T75" s="20" t="n">
        <v>2.90626198</v>
      </c>
    </row>
    <row r="76" spans="1:20">
      <c r="A76" s="15" t="s">
        <v>418</v>
      </c>
      <c r="B76" s="17" t="n">
        <v>7115</v>
      </c>
      <c r="C76" s="18">
        <f>(6238.0/B76*100)</f>
        <v/>
      </c>
      <c r="D76" s="19" t="n">
        <v>877</v>
      </c>
      <c r="E76" s="18" t="n">
        <v>52.62695665</v>
      </c>
      <c r="F76" s="20" t="n">
        <v>2.39492992</v>
      </c>
      <c r="G76" s="18" t="n">
        <v>12.58208807</v>
      </c>
      <c r="H76" s="20" t="n">
        <v>1.50185232</v>
      </c>
      <c r="I76" s="18" t="n">
        <v>23.8721626</v>
      </c>
      <c r="J76" s="20" t="n">
        <v>1.67739741</v>
      </c>
      <c r="K76" s="18" t="s">
        <v>349</v>
      </c>
      <c r="L76" s="20" t="s">
        <v>349</v>
      </c>
      <c r="M76" s="18" t="n">
        <v>2.4060905</v>
      </c>
      <c r="N76" s="20" t="n">
        <v>0.67535983</v>
      </c>
      <c r="O76" s="18" t="n">
        <v>0.08206924</v>
      </c>
      <c r="P76" s="20" t="n">
        <v>0.08270441000000001</v>
      </c>
      <c r="Q76" s="18" t="n">
        <v>0</v>
      </c>
      <c r="R76" s="20" t="n">
        <v>0</v>
      </c>
      <c r="S76" s="18" t="n">
        <v>8.430632940000001</v>
      </c>
      <c r="T76" s="20" t="n">
        <v>1.54034686</v>
      </c>
    </row>
    <row r="77" spans="1:20">
      <c r="A77" s="15" t="s">
        <v>419</v>
      </c>
      <c r="B77" s="17" t="n">
        <v>3154</v>
      </c>
      <c r="C77" s="18">
        <f>(2788.0/B77*100)</f>
        <v/>
      </c>
      <c r="D77" s="19" t="n">
        <v>366</v>
      </c>
      <c r="E77" s="18" t="n">
        <v>39.93039947</v>
      </c>
      <c r="F77" s="20" t="n">
        <v>2.54286826</v>
      </c>
      <c r="G77" s="18" t="n">
        <v>8.66087959</v>
      </c>
      <c r="H77" s="20" t="n">
        <v>1.47086443</v>
      </c>
      <c r="I77" s="18" t="n">
        <v>11.01607568</v>
      </c>
      <c r="J77" s="20" t="n">
        <v>1.63095917</v>
      </c>
      <c r="K77" s="18" t="s">
        <v>349</v>
      </c>
      <c r="L77" s="20" t="s">
        <v>349</v>
      </c>
      <c r="M77" s="18" t="n">
        <v>11.24829599</v>
      </c>
      <c r="N77" s="20" t="n">
        <v>1.79070574</v>
      </c>
      <c r="O77" s="18" t="n">
        <v>1.07921187</v>
      </c>
      <c r="P77" s="20" t="n">
        <v>0.50876148</v>
      </c>
      <c r="Q77" s="18" t="n">
        <v>0</v>
      </c>
      <c r="R77" s="20" t="n">
        <v>0</v>
      </c>
      <c r="S77" s="18" t="n">
        <v>28.06513739</v>
      </c>
      <c r="T77" s="20" t="n">
        <v>2.16880738</v>
      </c>
    </row>
    <row r="78" spans="1:20">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row>
    <row customHeight="1" ht="25" r="79" spans="1:20">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row>
    <row r="80" spans="1:20">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4698</v>
      </c>
      <c r="C81" s="18">
        <f>(4123.0/B81*100)</f>
        <v/>
      </c>
      <c r="D81" s="19" t="n">
        <v>575</v>
      </c>
      <c r="E81" s="18" t="n">
        <v>53.53340702</v>
      </c>
      <c r="F81" s="20" t="n">
        <v>2.634022</v>
      </c>
      <c r="G81" s="18" t="n">
        <v>26.6301767</v>
      </c>
      <c r="H81" s="20" t="n">
        <v>2.30833657</v>
      </c>
      <c r="I81" s="18" t="n">
        <v>14.61768757</v>
      </c>
      <c r="J81" s="20" t="n">
        <v>1.99634441</v>
      </c>
      <c r="K81" s="18" t="s">
        <v>349</v>
      </c>
      <c r="L81" s="20" t="s">
        <v>349</v>
      </c>
      <c r="M81" s="18" t="n">
        <v>0.97666109</v>
      </c>
      <c r="N81" s="20" t="n">
        <v>0.46215913</v>
      </c>
      <c r="O81" s="18" t="n">
        <v>0</v>
      </c>
      <c r="P81" s="20" t="n">
        <v>0</v>
      </c>
      <c r="Q81" s="18" t="n">
        <v>0</v>
      </c>
      <c r="R81" s="20" t="n">
        <v>0</v>
      </c>
      <c r="S81" s="18" t="n">
        <v>4.24206762</v>
      </c>
      <c r="T81" s="20" t="n">
        <v>1.30088205</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(6310.0/B7*100)</f>
        <v/>
      </c>
      <c r="D7" s="19" t="n">
        <v>853</v>
      </c>
      <c r="E7" s="18" t="n">
        <v>85.14741128</v>
      </c>
      <c r="F7" s="20" t="n">
        <v>1.44553215</v>
      </c>
      <c r="G7" s="18" t="n">
        <v>10.29858271</v>
      </c>
      <c r="H7" s="20" t="n">
        <v>1.24005588</v>
      </c>
      <c r="I7" s="18" t="s">
        <v>349</v>
      </c>
      <c r="J7" s="20" t="s">
        <v>349</v>
      </c>
      <c r="K7" s="18" t="n">
        <v>4.55400601</v>
      </c>
      <c r="L7" s="20" t="n">
        <v>0.72287668</v>
      </c>
      <c r="M7" s="18" t="n">
        <v>0</v>
      </c>
      <c r="N7" s="20" t="n">
        <v>0</v>
      </c>
      <c r="O7" s="18" t="n">
        <v>0</v>
      </c>
      <c r="P7" s="20" t="n">
        <v>0</v>
      </c>
      <c r="Q7" s="18" t="n">
        <v>0</v>
      </c>
      <c r="R7" s="20" t="n">
        <v>0</v>
      </c>
    </row>
    <row r="8" spans="1:18">
      <c r="A8" s="15" t="s">
        <v>350</v>
      </c>
      <c r="B8" s="17" t="n">
        <v>3443</v>
      </c>
      <c r="C8" s="18">
        <f>(3025.0/B8*100)</f>
        <v/>
      </c>
      <c r="D8" s="19" t="n">
        <v>418</v>
      </c>
      <c r="E8" s="18" t="n">
        <v>79.48784087</v>
      </c>
      <c r="F8" s="20" t="n">
        <v>1.92775304</v>
      </c>
      <c r="G8" s="18" t="n">
        <v>8.873572080000001</v>
      </c>
      <c r="H8" s="20" t="n">
        <v>1.35877891</v>
      </c>
      <c r="I8" s="18" t="s">
        <v>349</v>
      </c>
      <c r="J8" s="20" t="s">
        <v>349</v>
      </c>
      <c r="K8" s="18" t="n">
        <v>11.63858705</v>
      </c>
      <c r="L8" s="20" t="n">
        <v>1.65300716</v>
      </c>
      <c r="M8" s="18" t="n">
        <v>0</v>
      </c>
      <c r="N8" s="20" t="n">
        <v>0</v>
      </c>
      <c r="O8" s="18" t="n">
        <v>0</v>
      </c>
      <c r="P8" s="20" t="n">
        <v>0</v>
      </c>
      <c r="Q8" s="18" t="n">
        <v>0</v>
      </c>
      <c r="R8" s="20" t="n">
        <v>0</v>
      </c>
    </row>
    <row r="9" spans="1:18">
      <c r="A9" s="15" t="s">
        <v>351</v>
      </c>
      <c r="B9" s="17" t="n">
        <v>4752</v>
      </c>
      <c r="C9" s="18">
        <f>(4201.0/B9*100)</f>
        <v/>
      </c>
      <c r="D9" s="19" t="n">
        <v>551</v>
      </c>
      <c r="E9" s="18" t="n">
        <v>80.5404625</v>
      </c>
      <c r="F9" s="20" t="n">
        <v>1.90817167</v>
      </c>
      <c r="G9" s="18" t="n">
        <v>12.15820353</v>
      </c>
      <c r="H9" s="20" t="n">
        <v>1.48296902</v>
      </c>
      <c r="I9" s="18" t="s">
        <v>349</v>
      </c>
      <c r="J9" s="20" t="s">
        <v>349</v>
      </c>
      <c r="K9" s="18" t="n">
        <v>7.16421925</v>
      </c>
      <c r="L9" s="20" t="n">
        <v>1.21857539</v>
      </c>
      <c r="M9" s="18" t="n">
        <v>0.13711472</v>
      </c>
      <c r="N9" s="20" t="n">
        <v>0.13763764</v>
      </c>
      <c r="O9" s="18" t="n">
        <v>0</v>
      </c>
      <c r="P9" s="20" t="n">
        <v>0</v>
      </c>
      <c r="Q9" s="18" t="n">
        <v>0</v>
      </c>
      <c r="R9" s="20" t="n">
        <v>0</v>
      </c>
    </row>
    <row r="10" spans="1:18">
      <c r="A10" s="15" t="s">
        <v>352</v>
      </c>
      <c r="B10" s="17" t="n">
        <v>10022</v>
      </c>
      <c r="C10" s="18">
        <f>(8787.0/B10*100)</f>
        <v/>
      </c>
      <c r="D10" s="19" t="n">
        <v>1235</v>
      </c>
      <c r="E10" s="18" t="n">
        <v>78.85996372</v>
      </c>
      <c r="F10" s="20" t="n">
        <v>1.96549747</v>
      </c>
      <c r="G10" s="18" t="n">
        <v>15.48341994</v>
      </c>
      <c r="H10" s="20" t="n">
        <v>1.64059099</v>
      </c>
      <c r="I10" s="18" t="s">
        <v>349</v>
      </c>
      <c r="J10" s="20" t="s">
        <v>349</v>
      </c>
      <c r="K10" s="18" t="n">
        <v>5.62722369</v>
      </c>
      <c r="L10" s="20" t="n">
        <v>0.94103288</v>
      </c>
      <c r="M10" s="18" t="n">
        <v>0.02939265</v>
      </c>
      <c r="N10" s="20" t="n">
        <v>0.02937687</v>
      </c>
      <c r="O10" s="18" t="n">
        <v>0</v>
      </c>
      <c r="P10" s="20" t="n">
        <v>0</v>
      </c>
      <c r="Q10" s="18" t="n">
        <v>0</v>
      </c>
      <c r="R10" s="20" t="n">
        <v>0</v>
      </c>
    </row>
    <row r="11" spans="1:18">
      <c r="A11" s="15" t="s">
        <v>353</v>
      </c>
      <c r="B11" s="17" t="n">
        <v>3500</v>
      </c>
      <c r="C11" s="18">
        <f>(3083.0/B11*100)</f>
        <v/>
      </c>
      <c r="D11" s="19" t="n">
        <v>417</v>
      </c>
      <c r="E11" s="18" t="n">
        <v>78.99391291000001</v>
      </c>
      <c r="F11" s="20" t="n">
        <v>2.32076082</v>
      </c>
      <c r="G11" s="18" t="n">
        <v>3.60512745</v>
      </c>
      <c r="H11" s="20" t="n">
        <v>1.10473354</v>
      </c>
      <c r="I11" s="18" t="s">
        <v>349</v>
      </c>
      <c r="J11" s="20" t="s">
        <v>349</v>
      </c>
      <c r="K11" s="18" t="n">
        <v>17.40095964</v>
      </c>
      <c r="L11" s="20" t="n">
        <v>2.17909056</v>
      </c>
      <c r="M11" s="18" t="n">
        <v>0</v>
      </c>
      <c r="N11" s="20" t="n">
        <v>0</v>
      </c>
      <c r="O11" s="18" t="n">
        <v>0</v>
      </c>
      <c r="P11" s="20" t="n">
        <v>0</v>
      </c>
      <c r="Q11" s="18" t="n">
        <v>0</v>
      </c>
      <c r="R11" s="20" t="n">
        <v>0</v>
      </c>
    </row>
    <row r="12" spans="1:18">
      <c r="A12" s="15" t="s">
        <v>354</v>
      </c>
      <c r="B12" s="17" t="n">
        <v>3422</v>
      </c>
      <c r="C12" s="18">
        <f>(3015.0/B12*100)</f>
        <v/>
      </c>
      <c r="D12" s="19" t="n">
        <v>407</v>
      </c>
      <c r="E12" s="18" t="n">
        <v>77.46022588</v>
      </c>
      <c r="F12" s="20" t="n">
        <v>2.47317565</v>
      </c>
      <c r="G12" s="18" t="n">
        <v>13.59758907</v>
      </c>
      <c r="H12" s="20" t="n">
        <v>1.84712843</v>
      </c>
      <c r="I12" s="18" t="s">
        <v>349</v>
      </c>
      <c r="J12" s="20" t="s">
        <v>349</v>
      </c>
      <c r="K12" s="18" t="n">
        <v>8.849819869999999</v>
      </c>
      <c r="L12" s="20" t="n">
        <v>2.02948451</v>
      </c>
      <c r="M12" s="18" t="n">
        <v>0.09236519</v>
      </c>
      <c r="N12" s="20" t="n">
        <v>0.09307907</v>
      </c>
      <c r="O12" s="18" t="n">
        <v>0</v>
      </c>
      <c r="P12" s="20" t="n">
        <v>0</v>
      </c>
      <c r="Q12" s="18" t="n">
        <v>0</v>
      </c>
      <c r="R12" s="20" t="n">
        <v>0</v>
      </c>
    </row>
    <row r="13" spans="1:18">
      <c r="A13" s="15" t="s">
        <v>355</v>
      </c>
      <c r="B13" s="17" t="n">
        <v>3602</v>
      </c>
      <c r="C13" s="18">
        <f>(3202.0/B13*100)</f>
        <v/>
      </c>
      <c r="D13" s="19" t="n">
        <v>400</v>
      </c>
      <c r="E13" s="18" t="n">
        <v>81.64197175</v>
      </c>
      <c r="F13" s="20" t="n">
        <v>2.52093898</v>
      </c>
      <c r="G13" s="18" t="n">
        <v>11.11262351</v>
      </c>
      <c r="H13" s="20" t="n">
        <v>1.69579545</v>
      </c>
      <c r="I13" s="18" t="s">
        <v>349</v>
      </c>
      <c r="J13" s="20" t="s">
        <v>349</v>
      </c>
      <c r="K13" s="18" t="n">
        <v>7.24540473</v>
      </c>
      <c r="L13" s="20" t="n">
        <v>1.76403507</v>
      </c>
      <c r="M13" s="18" t="n">
        <v>0</v>
      </c>
      <c r="N13" s="20" t="n">
        <v>0</v>
      </c>
      <c r="O13" s="18" t="n">
        <v>0</v>
      </c>
      <c r="P13" s="20" t="n">
        <v>0</v>
      </c>
      <c r="Q13" s="18" t="n">
        <v>0</v>
      </c>
      <c r="R13" s="20" t="n">
        <v>0</v>
      </c>
    </row>
    <row r="14" spans="1:18">
      <c r="A14" s="15" t="s">
        <v>356</v>
      </c>
      <c r="B14" s="17" t="n">
        <v>2788</v>
      </c>
      <c r="C14" s="18">
        <f>(2444.0/B14*100)</f>
        <v/>
      </c>
      <c r="D14" s="19" t="n">
        <v>344</v>
      </c>
      <c r="E14" s="18" t="n">
        <v>77.03949009999999</v>
      </c>
      <c r="F14" s="20" t="n">
        <v>2.4430448</v>
      </c>
      <c r="G14" s="18" t="n">
        <v>16.1062512</v>
      </c>
      <c r="H14" s="20" t="n">
        <v>2.13140745</v>
      </c>
      <c r="I14" s="18" t="s">
        <v>349</v>
      </c>
      <c r="J14" s="20" t="s">
        <v>349</v>
      </c>
      <c r="K14" s="18" t="n">
        <v>6.8542587</v>
      </c>
      <c r="L14" s="20" t="n">
        <v>1.36287398</v>
      </c>
      <c r="M14" s="18" t="n">
        <v>0</v>
      </c>
      <c r="N14" s="20" t="n">
        <v>0</v>
      </c>
      <c r="O14" s="18" t="n">
        <v>0</v>
      </c>
      <c r="P14" s="20" t="n">
        <v>0</v>
      </c>
      <c r="Q14" s="18" t="n">
        <v>0</v>
      </c>
      <c r="R14" s="20" t="n">
        <v>0</v>
      </c>
    </row>
    <row r="15" spans="1:18">
      <c r="A15" s="15" t="s">
        <v>357</v>
      </c>
      <c r="B15" s="17" t="n">
        <v>2863</v>
      </c>
      <c r="C15" s="18">
        <f>(2535.0/B15*100)</f>
        <v/>
      </c>
      <c r="D15" s="19" t="n">
        <v>328</v>
      </c>
      <c r="E15" s="18" t="n">
        <v>75.36266274</v>
      </c>
      <c r="F15" s="20" t="n">
        <v>2.36231184</v>
      </c>
      <c r="G15" s="18" t="n">
        <v>14.45322913</v>
      </c>
      <c r="H15" s="20" t="n">
        <v>1.839888</v>
      </c>
      <c r="I15" s="18" t="s">
        <v>349</v>
      </c>
      <c r="J15" s="20" t="s">
        <v>349</v>
      </c>
      <c r="K15" s="18" t="n">
        <v>10.18410813</v>
      </c>
      <c r="L15" s="20" t="n">
        <v>1.6201093</v>
      </c>
      <c r="M15" s="18" t="n">
        <v>0</v>
      </c>
      <c r="N15" s="20" t="n">
        <v>0</v>
      </c>
      <c r="O15" s="18" t="n">
        <v>0</v>
      </c>
      <c r="P15" s="20" t="n">
        <v>0</v>
      </c>
      <c r="Q15" s="18" t="n">
        <v>0</v>
      </c>
      <c r="R15" s="20" t="n">
        <v>0</v>
      </c>
    </row>
    <row r="16" spans="1:18">
      <c r="A16" s="15" t="s">
        <v>358</v>
      </c>
      <c r="B16" s="17" t="n">
        <v>3111</v>
      </c>
      <c r="C16" s="18">
        <f>(2745.0/B16*100)</f>
        <v/>
      </c>
      <c r="D16" s="19" t="n">
        <v>366</v>
      </c>
      <c r="E16" s="18" t="n">
        <v>78.33189366000001</v>
      </c>
      <c r="F16" s="20" t="n">
        <v>2.09962138</v>
      </c>
      <c r="G16" s="18" t="n">
        <v>8.59006606</v>
      </c>
      <c r="H16" s="20" t="n">
        <v>1.42509385</v>
      </c>
      <c r="I16" s="18" t="s">
        <v>349</v>
      </c>
      <c r="J16" s="20" t="s">
        <v>349</v>
      </c>
      <c r="K16" s="18" t="n">
        <v>13.07804028</v>
      </c>
      <c r="L16" s="20" t="n">
        <v>1.90347381</v>
      </c>
      <c r="M16" s="18" t="n">
        <v>0</v>
      </c>
      <c r="N16" s="20" t="n">
        <v>0</v>
      </c>
      <c r="O16" s="18" t="n">
        <v>0</v>
      </c>
      <c r="P16" s="20" t="n">
        <v>0</v>
      </c>
      <c r="Q16" s="18" t="n">
        <v>0</v>
      </c>
      <c r="R16" s="20" t="n">
        <v>0</v>
      </c>
    </row>
    <row r="17" spans="1:18">
      <c r="A17" s="15" t="s">
        <v>359</v>
      </c>
      <c r="B17" s="17" t="n">
        <v>3197</v>
      </c>
      <c r="C17" s="18">
        <f>(2838.0/B17*100)</f>
        <v/>
      </c>
      <c r="D17" s="19" t="n">
        <v>359</v>
      </c>
      <c r="E17" s="18" t="n">
        <v>85.23195036</v>
      </c>
      <c r="F17" s="20" t="n">
        <v>1.64431713</v>
      </c>
      <c r="G17" s="18" t="n">
        <v>6.37762795</v>
      </c>
      <c r="H17" s="20" t="n">
        <v>1.19869065</v>
      </c>
      <c r="I17" s="18" t="s">
        <v>349</v>
      </c>
      <c r="J17" s="20" t="s">
        <v>349</v>
      </c>
      <c r="K17" s="18" t="n">
        <v>8.39042169</v>
      </c>
      <c r="L17" s="20" t="n">
        <v>1.59904571</v>
      </c>
      <c r="M17" s="18" t="n">
        <v>0</v>
      </c>
      <c r="N17" s="20" t="n">
        <v>0</v>
      </c>
      <c r="O17" s="18" t="n">
        <v>0</v>
      </c>
      <c r="P17" s="20" t="n">
        <v>0</v>
      </c>
      <c r="Q17" s="18" t="n">
        <v>0</v>
      </c>
      <c r="R17" s="20" t="n">
        <v>0</v>
      </c>
    </row>
    <row r="18" spans="1:18">
      <c r="A18" s="15" t="s">
        <v>360</v>
      </c>
      <c r="B18" s="17" t="n">
        <v>2706</v>
      </c>
      <c r="C18" s="18">
        <f>(2381.0/B18*100)</f>
        <v/>
      </c>
      <c r="D18" s="19" t="n">
        <v>325</v>
      </c>
      <c r="E18" s="18" t="n">
        <v>87.41138327</v>
      </c>
      <c r="F18" s="20" t="n">
        <v>2.05108884</v>
      </c>
      <c r="G18" s="18" t="n">
        <v>5.00098034</v>
      </c>
      <c r="H18" s="20" t="n">
        <v>1.30157604</v>
      </c>
      <c r="I18" s="18" t="s">
        <v>349</v>
      </c>
      <c r="J18" s="20" t="s">
        <v>349</v>
      </c>
      <c r="K18" s="18" t="n">
        <v>7.58763639</v>
      </c>
      <c r="L18" s="20" t="n">
        <v>1.65242662</v>
      </c>
      <c r="M18" s="18" t="n">
        <v>0</v>
      </c>
      <c r="N18" s="20" t="n">
        <v>0</v>
      </c>
      <c r="O18" s="18" t="n">
        <v>0</v>
      </c>
      <c r="P18" s="20" t="n">
        <v>0</v>
      </c>
      <c r="Q18" s="18" t="n">
        <v>0</v>
      </c>
      <c r="R18" s="20" t="n">
        <v>0</v>
      </c>
    </row>
    <row r="19" spans="1:18">
      <c r="A19" s="15" t="s">
        <v>361</v>
      </c>
      <c r="B19" s="17" t="n">
        <v>2850</v>
      </c>
      <c r="C19" s="18">
        <f>(2507.0/B19*100)</f>
        <v/>
      </c>
      <c r="D19" s="19" t="n">
        <v>343</v>
      </c>
      <c r="E19" s="18" t="n">
        <v>86.53907269</v>
      </c>
      <c r="F19" s="20" t="n">
        <v>1.97830661</v>
      </c>
      <c r="G19" s="18" t="n">
        <v>4.46399828</v>
      </c>
      <c r="H19" s="20" t="n">
        <v>1.05914945</v>
      </c>
      <c r="I19" s="18" t="s">
        <v>349</v>
      </c>
      <c r="J19" s="20" t="s">
        <v>349</v>
      </c>
      <c r="K19" s="18" t="n">
        <v>8.99692903</v>
      </c>
      <c r="L19" s="20" t="n">
        <v>1.70693864</v>
      </c>
      <c r="M19" s="18" t="n">
        <v>0</v>
      </c>
      <c r="N19" s="20" t="n">
        <v>0</v>
      </c>
      <c r="O19" s="18" t="n">
        <v>0</v>
      </c>
      <c r="P19" s="20" t="n">
        <v>0</v>
      </c>
      <c r="Q19" s="18" t="n">
        <v>0</v>
      </c>
      <c r="R19" s="20" t="n">
        <v>0</v>
      </c>
    </row>
    <row r="20" spans="1:18">
      <c r="A20" s="15" t="s">
        <v>362</v>
      </c>
      <c r="B20" s="17" t="n">
        <v>1741</v>
      </c>
      <c r="C20" s="18">
        <f>(1534.0/B20*100)</f>
        <v/>
      </c>
      <c r="D20" s="19" t="n">
        <v>207</v>
      </c>
      <c r="E20" s="18" t="n">
        <v>83.71469971</v>
      </c>
      <c r="F20" s="20" t="n">
        <v>2.53036369</v>
      </c>
      <c r="G20" s="18" t="n">
        <v>9.59257964</v>
      </c>
      <c r="H20" s="20" t="n">
        <v>2.12295338</v>
      </c>
      <c r="I20" s="18" t="s">
        <v>349</v>
      </c>
      <c r="J20" s="20" t="s">
        <v>349</v>
      </c>
      <c r="K20" s="18" t="n">
        <v>6.69272064</v>
      </c>
      <c r="L20" s="20" t="n">
        <v>1.7867846</v>
      </c>
      <c r="M20" s="18" t="n">
        <v>0</v>
      </c>
      <c r="N20" s="20" t="n">
        <v>0</v>
      </c>
      <c r="O20" s="18" t="n">
        <v>0</v>
      </c>
      <c r="P20" s="20" t="n">
        <v>0</v>
      </c>
      <c r="Q20" s="18" t="n">
        <v>0</v>
      </c>
      <c r="R20" s="20" t="n">
        <v>0</v>
      </c>
    </row>
    <row r="21" spans="1:18">
      <c r="A21" s="15" t="s">
        <v>363</v>
      </c>
      <c r="B21" s="17" t="n">
        <v>2833</v>
      </c>
      <c r="C21" s="18">
        <f>(2354.0/B21*100)</f>
        <v/>
      </c>
      <c r="D21" s="19" t="n">
        <v>479</v>
      </c>
      <c r="E21" s="18" t="n">
        <v>86.96075257</v>
      </c>
      <c r="F21" s="20" t="n">
        <v>1.45602597</v>
      </c>
      <c r="G21" s="18" t="n">
        <v>9.23388263</v>
      </c>
      <c r="H21" s="20" t="n">
        <v>1.24735734</v>
      </c>
      <c r="I21" s="18" t="s">
        <v>349</v>
      </c>
      <c r="J21" s="20" t="s">
        <v>349</v>
      </c>
      <c r="K21" s="18" t="n">
        <v>3.5501372</v>
      </c>
      <c r="L21" s="20" t="n">
        <v>0.91229268</v>
      </c>
      <c r="M21" s="18" t="n">
        <v>0.25522761</v>
      </c>
      <c r="N21" s="20" t="n">
        <v>0.25580969</v>
      </c>
      <c r="O21" s="18" t="n">
        <v>0</v>
      </c>
      <c r="P21" s="20" t="n">
        <v>0</v>
      </c>
      <c r="Q21" s="18" t="n">
        <v>0</v>
      </c>
      <c r="R21" s="20" t="n">
        <v>0</v>
      </c>
    </row>
    <row r="22" spans="1:18">
      <c r="A22" s="15" t="s">
        <v>364</v>
      </c>
      <c r="B22" s="17" t="n">
        <v>3667</v>
      </c>
      <c r="C22" s="18">
        <f>(3195.0/B22*100)</f>
        <v/>
      </c>
      <c r="D22" s="19" t="n">
        <v>472</v>
      </c>
      <c r="E22" s="18" t="n">
        <v>83.47695782</v>
      </c>
      <c r="F22" s="20" t="n">
        <v>1.92054811</v>
      </c>
      <c r="G22" s="18" t="n">
        <v>6.25937321</v>
      </c>
      <c r="H22" s="20" t="n">
        <v>1.35696656</v>
      </c>
      <c r="I22" s="18" t="s">
        <v>349</v>
      </c>
      <c r="J22" s="20" t="s">
        <v>349</v>
      </c>
      <c r="K22" s="18" t="n">
        <v>10.26366897</v>
      </c>
      <c r="L22" s="20" t="n">
        <v>1.43045551</v>
      </c>
      <c r="M22" s="18" t="n">
        <v>0</v>
      </c>
      <c r="N22" s="20" t="n">
        <v>0</v>
      </c>
      <c r="O22" s="18" t="n">
        <v>0</v>
      </c>
      <c r="P22" s="20" t="n">
        <v>0</v>
      </c>
      <c r="Q22" s="18" t="n">
        <v>0</v>
      </c>
      <c r="R22" s="20" t="n">
        <v>0</v>
      </c>
    </row>
    <row r="23" spans="1:18">
      <c r="A23" s="15" t="s">
        <v>365</v>
      </c>
      <c r="B23" s="17" t="n">
        <v>5792</v>
      </c>
      <c r="C23" s="18">
        <f>(5090.0/B23*100)</f>
        <v/>
      </c>
      <c r="D23" s="19" t="n">
        <v>702</v>
      </c>
      <c r="E23" s="18" t="n">
        <v>79.45523537</v>
      </c>
      <c r="F23" s="20" t="n">
        <v>2.26172858</v>
      </c>
      <c r="G23" s="18" t="n">
        <v>9.68011094</v>
      </c>
      <c r="H23" s="20" t="n">
        <v>1.69420745</v>
      </c>
      <c r="I23" s="18" t="s">
        <v>349</v>
      </c>
      <c r="J23" s="20" t="s">
        <v>349</v>
      </c>
      <c r="K23" s="18" t="n">
        <v>10.86465369</v>
      </c>
      <c r="L23" s="20" t="n">
        <v>1.52312824</v>
      </c>
      <c r="M23" s="18" t="n">
        <v>0</v>
      </c>
      <c r="N23" s="20" t="n">
        <v>0</v>
      </c>
      <c r="O23" s="18" t="n">
        <v>0</v>
      </c>
      <c r="P23" s="20" t="n">
        <v>0</v>
      </c>
      <c r="Q23" s="18" t="n">
        <v>0</v>
      </c>
      <c r="R23" s="20" t="n">
        <v>0</v>
      </c>
    </row>
    <row r="24" spans="1:18">
      <c r="A24" s="15" t="s">
        <v>366</v>
      </c>
      <c r="B24" s="17" t="n">
        <v>3309</v>
      </c>
      <c r="C24" s="18">
        <f>(2909.0/B24*100)</f>
        <v/>
      </c>
      <c r="D24" s="19" t="n">
        <v>400</v>
      </c>
      <c r="E24" s="18" t="n">
        <v>83.0039292</v>
      </c>
      <c r="F24" s="20" t="n">
        <v>1.54712964</v>
      </c>
      <c r="G24" s="18" t="n">
        <v>12.06481288</v>
      </c>
      <c r="H24" s="20" t="n">
        <v>1.49255234</v>
      </c>
      <c r="I24" s="18" t="s">
        <v>349</v>
      </c>
      <c r="J24" s="20" t="s">
        <v>349</v>
      </c>
      <c r="K24" s="18" t="n">
        <v>4.93125792</v>
      </c>
      <c r="L24" s="20" t="n">
        <v>1.02319502</v>
      </c>
      <c r="M24" s="18" t="n">
        <v>0</v>
      </c>
      <c r="N24" s="20" t="n">
        <v>0</v>
      </c>
      <c r="O24" s="18" t="n">
        <v>0</v>
      </c>
      <c r="P24" s="20" t="n">
        <v>0</v>
      </c>
      <c r="Q24" s="18" t="n">
        <v>0</v>
      </c>
      <c r="R24" s="20" t="n">
        <v>0</v>
      </c>
    </row>
    <row r="25" spans="1:18">
      <c r="A25" s="15" t="s">
        <v>367</v>
      </c>
      <c r="B25" s="17" t="n">
        <v>2669</v>
      </c>
      <c r="C25" s="18">
        <f>(2338.0/B25*100)</f>
        <v/>
      </c>
      <c r="D25" s="19" t="n">
        <v>331</v>
      </c>
      <c r="E25" s="18" t="n">
        <v>83.36436809</v>
      </c>
      <c r="F25" s="20" t="n">
        <v>2.06008582</v>
      </c>
      <c r="G25" s="18" t="n">
        <v>11.01896028</v>
      </c>
      <c r="H25" s="20" t="n">
        <v>1.58690967</v>
      </c>
      <c r="I25" s="18" t="s">
        <v>349</v>
      </c>
      <c r="J25" s="20" t="s">
        <v>349</v>
      </c>
      <c r="K25" s="18" t="n">
        <v>5.61667163</v>
      </c>
      <c r="L25" s="20" t="n">
        <v>1.43932858</v>
      </c>
      <c r="M25" s="18" t="n">
        <v>0</v>
      </c>
      <c r="N25" s="20" t="n">
        <v>0</v>
      </c>
      <c r="O25" s="18" t="n">
        <v>0</v>
      </c>
      <c r="P25" s="20" t="n">
        <v>0</v>
      </c>
      <c r="Q25" s="18" t="n">
        <v>0</v>
      </c>
      <c r="R25" s="20" t="n">
        <v>0</v>
      </c>
    </row>
    <row r="26" spans="1:18">
      <c r="A26" s="15" t="s">
        <v>368</v>
      </c>
      <c r="B26" s="17" t="n">
        <v>2419</v>
      </c>
      <c r="C26" s="18">
        <f>(2127.0/B26*100)</f>
        <v/>
      </c>
      <c r="D26" s="19" t="n">
        <v>292</v>
      </c>
      <c r="E26" s="18" t="n">
        <v>88.94445832</v>
      </c>
      <c r="F26" s="20" t="n">
        <v>1.9058014</v>
      </c>
      <c r="G26" s="18" t="n">
        <v>3.82408338</v>
      </c>
      <c r="H26" s="20" t="n">
        <v>1.28696638</v>
      </c>
      <c r="I26" s="18" t="s">
        <v>349</v>
      </c>
      <c r="J26" s="20" t="s">
        <v>349</v>
      </c>
      <c r="K26" s="18" t="n">
        <v>7.2314583</v>
      </c>
      <c r="L26" s="20" t="n">
        <v>1.49265259</v>
      </c>
      <c r="M26" s="18" t="n">
        <v>0</v>
      </c>
      <c r="N26" s="20" t="n">
        <v>0</v>
      </c>
      <c r="O26" s="18" t="n">
        <v>0</v>
      </c>
      <c r="P26" s="20" t="n">
        <v>0</v>
      </c>
      <c r="Q26" s="18" t="n">
        <v>0</v>
      </c>
      <c r="R26" s="20" t="n">
        <v>0</v>
      </c>
    </row>
    <row r="27" spans="1:18">
      <c r="A27" s="15" t="s">
        <v>369</v>
      </c>
      <c r="B27" s="17" t="n">
        <v>2683</v>
      </c>
      <c r="C27" s="18">
        <f>(2361.0/B27*100)</f>
        <v/>
      </c>
      <c r="D27" s="19" t="n">
        <v>322</v>
      </c>
      <c r="E27" s="18" t="n">
        <v>83.18966293</v>
      </c>
      <c r="F27" s="20" t="n">
        <v>2.17792771</v>
      </c>
      <c r="G27" s="18" t="n">
        <v>8.941130169999999</v>
      </c>
      <c r="H27" s="20" t="n">
        <v>1.5977113</v>
      </c>
      <c r="I27" s="18" t="s">
        <v>349</v>
      </c>
      <c r="J27" s="20" t="s">
        <v>349</v>
      </c>
      <c r="K27" s="18" t="n">
        <v>7.55908634</v>
      </c>
      <c r="L27" s="20" t="n">
        <v>1.41094883</v>
      </c>
      <c r="M27" s="18" t="n">
        <v>0.31012056</v>
      </c>
      <c r="N27" s="20" t="n">
        <v>0.30743913</v>
      </c>
      <c r="O27" s="18" t="n">
        <v>0</v>
      </c>
      <c r="P27" s="20" t="n">
        <v>0</v>
      </c>
      <c r="Q27" s="18" t="n">
        <v>0</v>
      </c>
      <c r="R27" s="20" t="n">
        <v>0</v>
      </c>
    </row>
    <row r="28" spans="1:18">
      <c r="A28" s="15" t="s">
        <v>370</v>
      </c>
      <c r="B28" s="17" t="n">
        <v>3803</v>
      </c>
      <c r="C28" s="18">
        <f>(3389.0/B28*100)</f>
        <v/>
      </c>
      <c r="D28" s="19" t="n">
        <v>414</v>
      </c>
      <c r="E28" s="18" t="n">
        <v>89.60628251999999</v>
      </c>
      <c r="F28" s="20" t="n">
        <v>1.81067187</v>
      </c>
      <c r="G28" s="18" t="n">
        <v>5.98644211</v>
      </c>
      <c r="H28" s="20" t="n">
        <v>1.30557639</v>
      </c>
      <c r="I28" s="18" t="s">
        <v>349</v>
      </c>
      <c r="J28" s="20" t="s">
        <v>349</v>
      </c>
      <c r="K28" s="18" t="n">
        <v>4.40727537</v>
      </c>
      <c r="L28" s="20" t="n">
        <v>1.14249488</v>
      </c>
      <c r="M28" s="18" t="n">
        <v>0</v>
      </c>
      <c r="N28" s="20" t="n">
        <v>0</v>
      </c>
      <c r="O28" s="18" t="n">
        <v>0</v>
      </c>
      <c r="P28" s="20" t="n">
        <v>0</v>
      </c>
      <c r="Q28" s="18" t="n">
        <v>0</v>
      </c>
      <c r="R28" s="20" t="n">
        <v>0</v>
      </c>
    </row>
    <row r="29" spans="1:18">
      <c r="A29" s="15" t="s">
        <v>371</v>
      </c>
      <c r="B29" s="17" t="n">
        <v>2700</v>
      </c>
      <c r="C29" s="18">
        <f>(2327.0/B29*100)</f>
        <v/>
      </c>
      <c r="D29" s="19" t="n">
        <v>373</v>
      </c>
      <c r="E29" s="18" t="n">
        <v>84.35758139000001</v>
      </c>
      <c r="F29" s="20" t="n">
        <v>1.91019515</v>
      </c>
      <c r="G29" s="18" t="n">
        <v>11.16658876</v>
      </c>
      <c r="H29" s="20" t="n">
        <v>1.65943269</v>
      </c>
      <c r="I29" s="18" t="s">
        <v>349</v>
      </c>
      <c r="J29" s="20" t="s">
        <v>349</v>
      </c>
      <c r="K29" s="18" t="n">
        <v>4.47582984</v>
      </c>
      <c r="L29" s="20" t="n">
        <v>1.15315888</v>
      </c>
      <c r="M29" s="18" t="n">
        <v>0</v>
      </c>
      <c r="N29" s="20" t="n">
        <v>0</v>
      </c>
      <c r="O29" s="18" t="n">
        <v>0</v>
      </c>
      <c r="P29" s="20" t="n">
        <v>0</v>
      </c>
      <c r="Q29" s="18" t="n">
        <v>0</v>
      </c>
      <c r="R29" s="20" t="n">
        <v>0</v>
      </c>
    </row>
    <row r="30" spans="1:18">
      <c r="A30" s="15" t="s">
        <v>372</v>
      </c>
      <c r="B30" s="17" t="n">
        <v>2257</v>
      </c>
      <c r="C30" s="18">
        <f>(1982.0/B30*100)</f>
        <v/>
      </c>
      <c r="D30" s="19" t="n">
        <v>275</v>
      </c>
      <c r="E30" s="18" t="n">
        <v>84.60838583</v>
      </c>
      <c r="F30" s="20" t="n">
        <v>1.95679739</v>
      </c>
      <c r="G30" s="18" t="n">
        <v>7.15062095</v>
      </c>
      <c r="H30" s="20" t="n">
        <v>1.41950639</v>
      </c>
      <c r="I30" s="18" t="s">
        <v>349</v>
      </c>
      <c r="J30" s="20" t="s">
        <v>349</v>
      </c>
      <c r="K30" s="18" t="n">
        <v>8.24099322</v>
      </c>
      <c r="L30" s="20" t="n">
        <v>1.66675768</v>
      </c>
      <c r="M30" s="18" t="n">
        <v>0</v>
      </c>
      <c r="N30" s="20" t="n">
        <v>0</v>
      </c>
      <c r="O30" s="18" t="n">
        <v>0</v>
      </c>
      <c r="P30" s="20" t="n">
        <v>0</v>
      </c>
      <c r="Q30" s="18" t="n">
        <v>0</v>
      </c>
      <c r="R30" s="20" t="n">
        <v>0</v>
      </c>
    </row>
    <row r="31" spans="1:18">
      <c r="A31" s="15" t="s">
        <v>373</v>
      </c>
      <c r="B31" s="17" t="n">
        <v>2706</v>
      </c>
      <c r="C31" s="18">
        <f>(2393.0/B31*100)</f>
        <v/>
      </c>
      <c r="D31" s="19" t="n">
        <v>313</v>
      </c>
      <c r="E31" s="18" t="n">
        <v>74.62709267</v>
      </c>
      <c r="F31" s="20" t="n">
        <v>3.02527082</v>
      </c>
      <c r="G31" s="18" t="n">
        <v>14.45460811</v>
      </c>
      <c r="H31" s="20" t="n">
        <v>2.2509194</v>
      </c>
      <c r="I31" s="18" t="s">
        <v>349</v>
      </c>
      <c r="J31" s="20" t="s">
        <v>349</v>
      </c>
      <c r="K31" s="18" t="n">
        <v>10.91829922</v>
      </c>
      <c r="L31" s="20" t="n">
        <v>2.14368681</v>
      </c>
      <c r="M31" s="18" t="n">
        <v>0</v>
      </c>
      <c r="N31" s="20" t="n">
        <v>0</v>
      </c>
      <c r="O31" s="18" t="n">
        <v>0</v>
      </c>
      <c r="P31" s="20" t="n">
        <v>0</v>
      </c>
      <c r="Q31" s="18" t="n">
        <v>0</v>
      </c>
      <c r="R31" s="20" t="n">
        <v>0</v>
      </c>
    </row>
    <row r="32" spans="1:18">
      <c r="A32" s="15" t="s">
        <v>374</v>
      </c>
      <c r="B32" s="17" t="n">
        <v>2209</v>
      </c>
      <c r="C32" s="18">
        <f>(1851.0/B32*100)</f>
        <v/>
      </c>
      <c r="D32" s="19" t="n">
        <v>358</v>
      </c>
      <c r="E32" s="18" t="n">
        <v>73.55192737</v>
      </c>
      <c r="F32" s="20" t="n">
        <v>2.48132196</v>
      </c>
      <c r="G32" s="18" t="n">
        <v>13.10101712</v>
      </c>
      <c r="H32" s="20" t="n">
        <v>1.86872086</v>
      </c>
      <c r="I32" s="18" t="s">
        <v>349</v>
      </c>
      <c r="J32" s="20" t="s">
        <v>349</v>
      </c>
      <c r="K32" s="18" t="n">
        <v>12.16548635</v>
      </c>
      <c r="L32" s="20" t="n">
        <v>1.54429126</v>
      </c>
      <c r="M32" s="18" t="n">
        <v>1.18156917</v>
      </c>
      <c r="N32" s="20" t="n">
        <v>1.24520763</v>
      </c>
      <c r="O32" s="18" t="n">
        <v>0</v>
      </c>
      <c r="P32" s="20" t="n">
        <v>0</v>
      </c>
      <c r="Q32" s="18" t="n">
        <v>0</v>
      </c>
      <c r="R32" s="20" t="n">
        <v>0</v>
      </c>
    </row>
    <row r="33" spans="1:18">
      <c r="A33" s="15" t="s">
        <v>375</v>
      </c>
      <c r="B33" s="17" t="n">
        <v>3651</v>
      </c>
      <c r="C33" s="18">
        <f>(3232.0/B33*100)</f>
        <v/>
      </c>
      <c r="D33" s="19" t="n">
        <v>419</v>
      </c>
      <c r="E33" s="18" t="n">
        <v>77.35847991999999</v>
      </c>
      <c r="F33" s="20" t="n">
        <v>2.6463231</v>
      </c>
      <c r="G33" s="18" t="n">
        <v>11.19770882</v>
      </c>
      <c r="H33" s="20" t="n">
        <v>1.90629795</v>
      </c>
      <c r="I33" s="18" t="s">
        <v>349</v>
      </c>
      <c r="J33" s="20" t="s">
        <v>349</v>
      </c>
      <c r="K33" s="18" t="n">
        <v>11.44381125</v>
      </c>
      <c r="L33" s="20" t="n">
        <v>1.87840429</v>
      </c>
      <c r="M33" s="18" t="n">
        <v>0</v>
      </c>
      <c r="N33" s="20" t="n">
        <v>0</v>
      </c>
      <c r="O33" s="18" t="n">
        <v>0</v>
      </c>
      <c r="P33" s="20" t="n">
        <v>0</v>
      </c>
      <c r="Q33" s="18" t="n">
        <v>0</v>
      </c>
      <c r="R33" s="20" t="n">
        <v>0</v>
      </c>
    </row>
    <row r="34" spans="1:18">
      <c r="A34" s="15" t="s">
        <v>376</v>
      </c>
      <c r="B34" s="17" t="n">
        <v>3035</v>
      </c>
      <c r="C34" s="18">
        <f>(2662.0/B34*100)</f>
        <v/>
      </c>
      <c r="D34" s="19" t="n">
        <v>373</v>
      </c>
      <c r="E34" s="18" t="n">
        <v>80.58253474</v>
      </c>
      <c r="F34" s="20" t="n">
        <v>2.3510266</v>
      </c>
      <c r="G34" s="18" t="n">
        <v>15.0206551</v>
      </c>
      <c r="H34" s="20" t="n">
        <v>2.04257501</v>
      </c>
      <c r="I34" s="18" t="s">
        <v>349</v>
      </c>
      <c r="J34" s="20" t="s">
        <v>349</v>
      </c>
      <c r="K34" s="18" t="n">
        <v>4.39681016</v>
      </c>
      <c r="L34" s="20" t="n">
        <v>0.91084783</v>
      </c>
      <c r="M34" s="18" t="n">
        <v>0</v>
      </c>
      <c r="N34" s="20" t="n">
        <v>0</v>
      </c>
      <c r="O34" s="18" t="n">
        <v>0</v>
      </c>
      <c r="P34" s="20" t="n">
        <v>0</v>
      </c>
      <c r="Q34" s="18" t="n">
        <v>0</v>
      </c>
      <c r="R34" s="20" t="n">
        <v>0</v>
      </c>
    </row>
    <row r="35" spans="1:18">
      <c r="A35" s="15" t="s">
        <v>377</v>
      </c>
      <c r="B35" s="17" t="n">
        <v>2901</v>
      </c>
      <c r="C35" s="18">
        <f>(2555.0/B35*100)</f>
        <v/>
      </c>
      <c r="D35" s="19" t="n">
        <v>346</v>
      </c>
      <c r="E35" s="18" t="n">
        <v>76.86996307</v>
      </c>
      <c r="F35" s="20" t="n">
        <v>2.87845333</v>
      </c>
      <c r="G35" s="18" t="n">
        <v>13.6878059</v>
      </c>
      <c r="H35" s="20" t="n">
        <v>2.78325195</v>
      </c>
      <c r="I35" s="18" t="s">
        <v>349</v>
      </c>
      <c r="J35" s="20" t="s">
        <v>349</v>
      </c>
      <c r="K35" s="18" t="n">
        <v>9.44223103</v>
      </c>
      <c r="L35" s="20" t="n">
        <v>1.63714729</v>
      </c>
      <c r="M35" s="18" t="n">
        <v>0</v>
      </c>
      <c r="N35" s="20" t="n">
        <v>0</v>
      </c>
      <c r="O35" s="18" t="n">
        <v>0</v>
      </c>
      <c r="P35" s="20" t="n">
        <v>0</v>
      </c>
      <c r="Q35" s="18" t="n">
        <v>0</v>
      </c>
      <c r="R35" s="20" t="n">
        <v>0</v>
      </c>
    </row>
    <row r="36" spans="1:18">
      <c r="A36" s="15" t="s">
        <v>378</v>
      </c>
      <c r="B36" s="17" t="n">
        <v>3404</v>
      </c>
      <c r="C36" s="18">
        <f>(2997.0/B36*100)</f>
        <v/>
      </c>
      <c r="D36" s="19" t="n">
        <v>407</v>
      </c>
      <c r="E36" s="18" t="n">
        <v>75.1810945</v>
      </c>
      <c r="F36" s="20" t="n">
        <v>2.66508316</v>
      </c>
      <c r="G36" s="18" t="n">
        <v>10.20647407</v>
      </c>
      <c r="H36" s="20" t="n">
        <v>1.62014134</v>
      </c>
      <c r="I36" s="18" t="s">
        <v>349</v>
      </c>
      <c r="J36" s="20" t="s">
        <v>349</v>
      </c>
      <c r="K36" s="18" t="n">
        <v>14.61243143</v>
      </c>
      <c r="L36" s="20" t="n">
        <v>1.86921414</v>
      </c>
      <c r="M36" s="18" t="n">
        <v>0</v>
      </c>
      <c r="N36" s="20" t="n">
        <v>0</v>
      </c>
      <c r="O36" s="18" t="n">
        <v>0</v>
      </c>
      <c r="P36" s="20" t="n">
        <v>0</v>
      </c>
      <c r="Q36" s="18" t="n">
        <v>0</v>
      </c>
      <c r="R36" s="20" t="n">
        <v>0</v>
      </c>
    </row>
    <row r="37" spans="1:18">
      <c r="A37" s="15" t="s">
        <v>379</v>
      </c>
      <c r="B37" s="17" t="n">
        <v>2731</v>
      </c>
      <c r="C37" s="18">
        <f>(2419.0/B37*100)</f>
        <v/>
      </c>
      <c r="D37" s="19" t="n">
        <v>312</v>
      </c>
      <c r="E37" s="18" t="n">
        <v>68.50631337</v>
      </c>
      <c r="F37" s="20" t="n">
        <v>2.60757314</v>
      </c>
      <c r="G37" s="18" t="n">
        <v>16.02894504</v>
      </c>
      <c r="H37" s="20" t="n">
        <v>1.87905788</v>
      </c>
      <c r="I37" s="18" t="s">
        <v>349</v>
      </c>
      <c r="J37" s="20" t="s">
        <v>349</v>
      </c>
      <c r="K37" s="18" t="n">
        <v>15.46474159</v>
      </c>
      <c r="L37" s="20" t="n">
        <v>2.02563427</v>
      </c>
      <c r="M37" s="18" t="n">
        <v>0</v>
      </c>
      <c r="N37" s="20" t="n">
        <v>0</v>
      </c>
      <c r="O37" s="18" t="n">
        <v>0</v>
      </c>
      <c r="P37" s="20" t="n">
        <v>0</v>
      </c>
      <c r="Q37" s="18" t="n">
        <v>0</v>
      </c>
      <c r="R37" s="20" t="n">
        <v>0</v>
      </c>
    </row>
    <row r="38" spans="1:18">
      <c r="A38" s="15" t="s">
        <v>380</v>
      </c>
      <c r="B38" s="17" t="n">
        <v>2807</v>
      </c>
      <c r="C38" s="18">
        <f>(2335.0/B38*100)</f>
        <v/>
      </c>
      <c r="D38" s="19" t="n">
        <v>472</v>
      </c>
      <c r="E38" s="18" t="n">
        <v>76.1742127</v>
      </c>
      <c r="F38" s="20" t="n">
        <v>2.38337173</v>
      </c>
      <c r="G38" s="18" t="n">
        <v>14.95739261</v>
      </c>
      <c r="H38" s="20" t="n">
        <v>2.04255616</v>
      </c>
      <c r="I38" s="18" t="s">
        <v>349</v>
      </c>
      <c r="J38" s="20" t="s">
        <v>349</v>
      </c>
      <c r="K38" s="18" t="n">
        <v>8.8683947</v>
      </c>
      <c r="L38" s="20" t="n">
        <v>1.40690863</v>
      </c>
      <c r="M38" s="18" t="n">
        <v>0</v>
      </c>
      <c r="N38" s="20" t="n">
        <v>0</v>
      </c>
      <c r="O38" s="18" t="n">
        <v>0</v>
      </c>
      <c r="P38" s="20" t="n">
        <v>0</v>
      </c>
      <c r="Q38" s="18" t="n">
        <v>0</v>
      </c>
      <c r="R38" s="20" t="n">
        <v>0</v>
      </c>
    </row>
    <row r="39" spans="1:18">
      <c r="A39" s="15" t="s">
        <v>381</v>
      </c>
      <c r="B39" s="17" t="n">
        <v>2938</v>
      </c>
      <c r="C39" s="18">
        <f>(2570.0/B39*100)</f>
        <v/>
      </c>
      <c r="D39" s="19" t="n">
        <v>368</v>
      </c>
      <c r="E39" s="18" t="n">
        <v>85.98454054</v>
      </c>
      <c r="F39" s="20" t="n">
        <v>2.15056162</v>
      </c>
      <c r="G39" s="18" t="n">
        <v>4.9685394</v>
      </c>
      <c r="H39" s="20" t="n">
        <v>1.40035629</v>
      </c>
      <c r="I39" s="18" t="s">
        <v>349</v>
      </c>
      <c r="J39" s="20" t="s">
        <v>349</v>
      </c>
      <c r="K39" s="18" t="n">
        <v>9.04692006</v>
      </c>
      <c r="L39" s="20" t="n">
        <v>1.64301984</v>
      </c>
      <c r="M39" s="18" t="n">
        <v>0</v>
      </c>
      <c r="N39" s="20" t="n">
        <v>0</v>
      </c>
      <c r="O39" s="18" t="n">
        <v>0</v>
      </c>
      <c r="P39" s="20" t="n">
        <v>0</v>
      </c>
      <c r="Q39" s="18" t="n">
        <v>0</v>
      </c>
      <c r="R39" s="20" t="n">
        <v>0</v>
      </c>
    </row>
    <row r="40" spans="1:18">
      <c r="A40" s="15" t="s">
        <v>382</v>
      </c>
      <c r="B40" s="17" t="n">
        <v>6922</v>
      </c>
      <c r="C40" s="18">
        <f>(6059.0/B40*100)</f>
        <v/>
      </c>
      <c r="D40" s="19" t="n">
        <v>863</v>
      </c>
      <c r="E40" s="18" t="n">
        <v>79.53217988999999</v>
      </c>
      <c r="F40" s="20" t="n">
        <v>2.05448047</v>
      </c>
      <c r="G40" s="18" t="n">
        <v>12.67936008</v>
      </c>
      <c r="H40" s="20" t="n">
        <v>1.603163</v>
      </c>
      <c r="I40" s="18" t="s">
        <v>349</v>
      </c>
      <c r="J40" s="20" t="s">
        <v>349</v>
      </c>
      <c r="K40" s="18" t="n">
        <v>7.42184789</v>
      </c>
      <c r="L40" s="20" t="n">
        <v>1.38958264</v>
      </c>
      <c r="M40" s="18" t="n">
        <v>0.36661213</v>
      </c>
      <c r="N40" s="20" t="n">
        <v>0.38150209</v>
      </c>
      <c r="O40" s="18" t="n">
        <v>0</v>
      </c>
      <c r="P40" s="20" t="n">
        <v>0</v>
      </c>
      <c r="Q40" s="18" t="n">
        <v>0</v>
      </c>
      <c r="R40" s="20" t="n">
        <v>0</v>
      </c>
    </row>
    <row r="41" spans="1:18">
      <c r="A41" s="15" t="s">
        <v>383</v>
      </c>
      <c r="B41" s="17" t="n">
        <v>2854</v>
      </c>
      <c r="C41" s="18">
        <f>(2509.0/B41*100)</f>
        <v/>
      </c>
      <c r="D41" s="19" t="n">
        <v>345</v>
      </c>
      <c r="E41" s="18" t="n">
        <v>92.22591614</v>
      </c>
      <c r="F41" s="20" t="n">
        <v>1.6418759</v>
      </c>
      <c r="G41" s="18" t="n">
        <v>5.0512892</v>
      </c>
      <c r="H41" s="20" t="n">
        <v>1.35238331</v>
      </c>
      <c r="I41" s="18" t="s">
        <v>349</v>
      </c>
      <c r="J41" s="20" t="s">
        <v>349</v>
      </c>
      <c r="K41" s="18" t="n">
        <v>2.72279465</v>
      </c>
      <c r="L41" s="20" t="n">
        <v>1.05926437</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(10888.0/B46*100)</f>
        <v/>
      </c>
      <c r="D46" s="19" t="n">
        <v>1185</v>
      </c>
      <c r="E46" s="18" t="n">
        <v>83.43380879</v>
      </c>
      <c r="F46" s="20" t="n">
        <v>1.53727578</v>
      </c>
      <c r="G46" s="18" t="n">
        <v>3.40788452</v>
      </c>
      <c r="H46" s="20" t="n">
        <v>0.78254681</v>
      </c>
      <c r="I46" s="18" t="s">
        <v>349</v>
      </c>
      <c r="J46" s="20" t="s">
        <v>349</v>
      </c>
      <c r="K46" s="18" t="n">
        <v>13.15830669</v>
      </c>
      <c r="L46" s="20" t="n">
        <v>1.33095115</v>
      </c>
      <c r="M46" s="18" t="n">
        <v>0</v>
      </c>
      <c r="N46" s="20" t="n">
        <v>0</v>
      </c>
      <c r="O46" s="18" t="n">
        <v>0</v>
      </c>
      <c r="P46" s="20" t="n">
        <v>0</v>
      </c>
      <c r="Q46" s="18" t="n">
        <v>0</v>
      </c>
      <c r="R46" s="20" t="n">
        <v>0</v>
      </c>
    </row>
    <row r="47" spans="1:18">
      <c r="A47" s="15" t="s">
        <v>389</v>
      </c>
      <c r="B47" s="17" t="n">
        <v>2823</v>
      </c>
      <c r="C47" s="18">
        <f>(2485.0/B47*100)</f>
        <v/>
      </c>
      <c r="D47" s="19" t="n">
        <v>338</v>
      </c>
      <c r="E47" s="18" t="n">
        <v>85.13979438</v>
      </c>
      <c r="F47" s="20" t="n">
        <v>2.23547661</v>
      </c>
      <c r="G47" s="18" t="n">
        <v>6.21479304</v>
      </c>
      <c r="H47" s="20" t="n">
        <v>1.52315621</v>
      </c>
      <c r="I47" s="18" t="s">
        <v>349</v>
      </c>
      <c r="J47" s="20" t="s">
        <v>349</v>
      </c>
      <c r="K47" s="18" t="n">
        <v>8.64541258</v>
      </c>
      <c r="L47" s="20" t="n">
        <v>1.70654262</v>
      </c>
      <c r="M47" s="18" t="n">
        <v>0</v>
      </c>
      <c r="N47" s="20" t="n">
        <v>0</v>
      </c>
      <c r="O47" s="18" t="n">
        <v>0</v>
      </c>
      <c r="P47" s="20" t="n">
        <v>0</v>
      </c>
      <c r="Q47" s="18" t="n">
        <v>0</v>
      </c>
      <c r="R47" s="20" t="n">
        <v>0</v>
      </c>
    </row>
    <row r="48" spans="1:18">
      <c r="A48" s="15" t="s">
        <v>390</v>
      </c>
      <c r="B48" s="17" t="n">
        <v>4682</v>
      </c>
      <c r="C48" s="18">
        <f>(4116.0/B48*100)</f>
        <v/>
      </c>
      <c r="D48" s="19" t="n">
        <v>566</v>
      </c>
      <c r="E48" s="18" t="n">
        <v>60.81173801</v>
      </c>
      <c r="F48" s="20" t="n">
        <v>2.91680758</v>
      </c>
      <c r="G48" s="18" t="n">
        <v>36.64625123</v>
      </c>
      <c r="H48" s="20" t="n">
        <v>2.97558407</v>
      </c>
      <c r="I48" s="18" t="s">
        <v>349</v>
      </c>
      <c r="J48" s="20" t="s">
        <v>349</v>
      </c>
      <c r="K48" s="18" t="n">
        <v>2.54201076</v>
      </c>
      <c r="L48" s="20" t="n">
        <v>0.84000705</v>
      </c>
      <c r="M48" s="18" t="n">
        <v>0</v>
      </c>
      <c r="N48" s="20" t="n">
        <v>0</v>
      </c>
      <c r="O48" s="18" t="n">
        <v>0</v>
      </c>
      <c r="P48" s="20" t="n">
        <v>0</v>
      </c>
      <c r="Q48" s="18" t="n">
        <v>0</v>
      </c>
      <c r="R48" s="20" t="n">
        <v>0</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(5457.0/B50*100)</f>
        <v/>
      </c>
      <c r="D50" s="19" t="n">
        <v>701</v>
      </c>
      <c r="E50" s="18" t="n">
        <v>90.43730067</v>
      </c>
      <c r="F50" s="20" t="n">
        <v>1.50193476</v>
      </c>
      <c r="G50" s="18" t="n">
        <v>2.85920455</v>
      </c>
      <c r="H50" s="20" t="n">
        <v>0.88129557</v>
      </c>
      <c r="I50" s="18" t="s">
        <v>349</v>
      </c>
      <c r="J50" s="20" t="s">
        <v>349</v>
      </c>
      <c r="K50" s="18" t="n">
        <v>5.51680295</v>
      </c>
      <c r="L50" s="20" t="n">
        <v>1.14290303</v>
      </c>
      <c r="M50" s="18" t="n">
        <v>1.18669183</v>
      </c>
      <c r="N50" s="20" t="n">
        <v>0.53883036</v>
      </c>
      <c r="O50" s="18" t="n">
        <v>0</v>
      </c>
      <c r="P50" s="20" t="n">
        <v>0</v>
      </c>
      <c r="Q50" s="18" t="n">
        <v>0</v>
      </c>
      <c r="R50" s="20" t="n">
        <v>0</v>
      </c>
    </row>
    <row r="51" spans="1:18">
      <c r="A51" s="15" t="s">
        <v>393</v>
      </c>
      <c r="B51" s="17" t="n">
        <v>3494</v>
      </c>
      <c r="C51" s="18">
        <f>(3155.0/B51*100)</f>
        <v/>
      </c>
      <c r="D51" s="19" t="n">
        <v>339</v>
      </c>
      <c r="E51" s="18" t="n">
        <v>90.24255439</v>
      </c>
      <c r="F51" s="20" t="n">
        <v>1.55292257</v>
      </c>
      <c r="G51" s="18" t="n">
        <v>3.30094749</v>
      </c>
      <c r="H51" s="20" t="n">
        <v>1.01214529</v>
      </c>
      <c r="I51" s="18" t="s">
        <v>349</v>
      </c>
      <c r="J51" s="20" t="s">
        <v>349</v>
      </c>
      <c r="K51" s="18" t="n">
        <v>6.45649812</v>
      </c>
      <c r="L51" s="20" t="n">
        <v>1.25646977</v>
      </c>
      <c r="M51" s="18" t="n">
        <v>0</v>
      </c>
      <c r="N51" s="20" t="n">
        <v>0</v>
      </c>
      <c r="O51" s="18" t="n">
        <v>0</v>
      </c>
      <c r="P51" s="20" t="n">
        <v>0</v>
      </c>
      <c r="Q51" s="18" t="n">
        <v>0</v>
      </c>
      <c r="R51" s="20" t="n">
        <v>0</v>
      </c>
    </row>
    <row r="52" spans="1:18">
      <c r="A52" s="15" t="s">
        <v>394</v>
      </c>
      <c r="B52" s="17" t="n">
        <v>3013</v>
      </c>
      <c r="C52" s="18">
        <f>(2650.0/B52*100)</f>
        <v/>
      </c>
      <c r="D52" s="19" t="n">
        <v>363</v>
      </c>
      <c r="E52" s="18" t="n">
        <v>82.19848354</v>
      </c>
      <c r="F52" s="20" t="n">
        <v>2.23219378</v>
      </c>
      <c r="G52" s="18" t="n">
        <v>9.3034055</v>
      </c>
      <c r="H52" s="20" t="n">
        <v>1.58021384</v>
      </c>
      <c r="I52" s="18" t="s">
        <v>349</v>
      </c>
      <c r="J52" s="20" t="s">
        <v>349</v>
      </c>
      <c r="K52" s="18" t="n">
        <v>8.49811096</v>
      </c>
      <c r="L52" s="20" t="n">
        <v>1.55455514</v>
      </c>
      <c r="M52" s="18" t="n">
        <v>0</v>
      </c>
      <c r="N52" s="20" t="n">
        <v>0</v>
      </c>
      <c r="O52" s="18" t="n">
        <v>0</v>
      </c>
      <c r="P52" s="20" t="n">
        <v>0</v>
      </c>
      <c r="Q52" s="18" t="n">
        <v>0</v>
      </c>
      <c r="R52" s="20" t="n">
        <v>0</v>
      </c>
    </row>
    <row r="53" spans="1:18">
      <c r="A53" s="15" t="s">
        <v>395</v>
      </c>
      <c r="B53" s="17" t="n">
        <v>2760</v>
      </c>
      <c r="C53" s="18">
        <f>(2445.0/B53*100)</f>
        <v/>
      </c>
      <c r="D53" s="19" t="n">
        <v>315</v>
      </c>
      <c r="E53" s="18" t="n">
        <v>86.78231057000001</v>
      </c>
      <c r="F53" s="20" t="n">
        <v>2.0290157</v>
      </c>
      <c r="G53" s="18" t="n">
        <v>7.11617843</v>
      </c>
      <c r="H53" s="20" t="n">
        <v>1.44884523</v>
      </c>
      <c r="I53" s="18" t="s">
        <v>349</v>
      </c>
      <c r="J53" s="20" t="s">
        <v>349</v>
      </c>
      <c r="K53" s="18" t="n">
        <v>6.101511</v>
      </c>
      <c r="L53" s="20" t="n">
        <v>1.53895692</v>
      </c>
      <c r="M53" s="18" t="n">
        <v>0</v>
      </c>
      <c r="N53" s="20" t="n">
        <v>0</v>
      </c>
      <c r="O53" s="18" t="n">
        <v>0</v>
      </c>
      <c r="P53" s="20" t="n">
        <v>0</v>
      </c>
      <c r="Q53" s="18" t="n">
        <v>0</v>
      </c>
      <c r="R53" s="20" t="n">
        <v>0</v>
      </c>
    </row>
    <row r="54" spans="1:18">
      <c r="A54" s="15" t="s">
        <v>396</v>
      </c>
      <c r="B54" s="17" t="n">
        <v>2474</v>
      </c>
      <c r="C54" s="18">
        <f>(2058.0/B54*100)</f>
        <v/>
      </c>
      <c r="D54" s="19" t="n">
        <v>416</v>
      </c>
      <c r="E54" s="18" t="n">
        <v>77.7809007</v>
      </c>
      <c r="F54" s="20" t="n">
        <v>2.94615981</v>
      </c>
      <c r="G54" s="18" t="n">
        <v>1.70232709</v>
      </c>
      <c r="H54" s="20" t="n">
        <v>0.59881115</v>
      </c>
      <c r="I54" s="18" t="s">
        <v>349</v>
      </c>
      <c r="J54" s="20" t="s">
        <v>349</v>
      </c>
      <c r="K54" s="18" t="n">
        <v>19.48170972</v>
      </c>
      <c r="L54" s="20" t="n">
        <v>2.71122118</v>
      </c>
      <c r="M54" s="18" t="n">
        <v>1.03506249</v>
      </c>
      <c r="N54" s="20" t="n">
        <v>1.13565815</v>
      </c>
      <c r="O54" s="18" t="n">
        <v>0</v>
      </c>
      <c r="P54" s="20" t="n">
        <v>0</v>
      </c>
      <c r="Q54" s="18" t="n">
        <v>0</v>
      </c>
      <c r="R54" s="20" t="n">
        <v>0</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(2356.0/B56*100)</f>
        <v/>
      </c>
      <c r="D56" s="19" t="n">
        <v>319</v>
      </c>
      <c r="E56" s="18" t="n">
        <v>68.54090995</v>
      </c>
      <c r="F56" s="20" t="n">
        <v>2.88074306</v>
      </c>
      <c r="G56" s="18" t="n">
        <v>29.29392565</v>
      </c>
      <c r="H56" s="20" t="n">
        <v>2.98717837</v>
      </c>
      <c r="I56" s="18" t="s">
        <v>349</v>
      </c>
      <c r="J56" s="20" t="s">
        <v>349</v>
      </c>
      <c r="K56" s="18" t="n">
        <v>1.82752626</v>
      </c>
      <c r="L56" s="20" t="n">
        <v>0.84463891</v>
      </c>
      <c r="M56" s="18" t="n">
        <v>0.33763814</v>
      </c>
      <c r="N56" s="20" t="n">
        <v>0.33663479</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(2807.0/B61*100)</f>
        <v/>
      </c>
      <c r="D61" s="19" t="n">
        <v>394</v>
      </c>
      <c r="E61" s="18" t="n">
        <v>81.60671920999999</v>
      </c>
      <c r="F61" s="20" t="n">
        <v>1.91442551</v>
      </c>
      <c r="G61" s="18" t="n">
        <v>9.477467369999999</v>
      </c>
      <c r="H61" s="20" t="n">
        <v>1.57042763</v>
      </c>
      <c r="I61" s="18" t="s">
        <v>349</v>
      </c>
      <c r="J61" s="20" t="s">
        <v>349</v>
      </c>
      <c r="K61" s="18" t="n">
        <v>8.91581341</v>
      </c>
      <c r="L61" s="20" t="n">
        <v>1.41628543</v>
      </c>
      <c r="M61" s="18" t="n">
        <v>0</v>
      </c>
      <c r="N61" s="20" t="n">
        <v>0</v>
      </c>
      <c r="O61" s="18" t="n">
        <v>0</v>
      </c>
      <c r="P61" s="20" t="n">
        <v>0</v>
      </c>
      <c r="Q61" s="18" t="n">
        <v>0</v>
      </c>
      <c r="R61" s="20" t="n">
        <v>0</v>
      </c>
    </row>
    <row r="62" spans="1:18">
      <c r="A62" s="15" t="s">
        <v>404</v>
      </c>
      <c r="B62" s="17" t="n">
        <v>2230</v>
      </c>
      <c r="C62" s="18">
        <f>(1977.0/B62*100)</f>
        <v/>
      </c>
      <c r="D62" s="19" t="n">
        <v>253</v>
      </c>
      <c r="E62" s="18" t="n">
        <v>71.12893742999999</v>
      </c>
      <c r="F62" s="20" t="n">
        <v>3.03647254</v>
      </c>
      <c r="G62" s="18" t="n">
        <v>27.23948807</v>
      </c>
      <c r="H62" s="20" t="n">
        <v>2.98383789</v>
      </c>
      <c r="I62" s="18" t="s">
        <v>349</v>
      </c>
      <c r="J62" s="20" t="s">
        <v>349</v>
      </c>
      <c r="K62" s="18" t="n">
        <v>1.6315745</v>
      </c>
      <c r="L62" s="20" t="n">
        <v>0.79075916</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(2437.0/B66*100)</f>
        <v/>
      </c>
      <c r="D66" s="19" t="n">
        <v>334</v>
      </c>
      <c r="E66" s="18" t="n">
        <v>75.37555736</v>
      </c>
      <c r="F66" s="20" t="n">
        <v>2.50115124</v>
      </c>
      <c r="G66" s="18" t="n">
        <v>5.03470207</v>
      </c>
      <c r="H66" s="20" t="n">
        <v>1.26298629</v>
      </c>
      <c r="I66" s="18" t="s">
        <v>349</v>
      </c>
      <c r="J66" s="20" t="s">
        <v>349</v>
      </c>
      <c r="K66" s="18" t="n">
        <v>19.26285172</v>
      </c>
      <c r="L66" s="20" t="n">
        <v>2.14963813</v>
      </c>
      <c r="M66" s="18" t="n">
        <v>0.32688885</v>
      </c>
      <c r="N66" s="20" t="n">
        <v>0.32642989</v>
      </c>
      <c r="O66" s="18" t="n">
        <v>0</v>
      </c>
      <c r="P66" s="20" t="n">
        <v>0</v>
      </c>
      <c r="Q66" s="18" t="n">
        <v>0</v>
      </c>
      <c r="R66" s="20" t="n">
        <v>0</v>
      </c>
    </row>
    <row r="67" spans="1:18">
      <c r="A67" s="15" t="s">
        <v>409</v>
      </c>
      <c r="B67" s="17" t="n">
        <v>3460</v>
      </c>
      <c r="C67" s="18">
        <f>(3088.0/B67*100)</f>
        <v/>
      </c>
      <c r="D67" s="19" t="n">
        <v>372</v>
      </c>
      <c r="E67" s="18" t="n">
        <v>88.38948752</v>
      </c>
      <c r="F67" s="20" t="n">
        <v>1.62155952</v>
      </c>
      <c r="G67" s="18" t="n">
        <v>2.57235476</v>
      </c>
      <c r="H67" s="20" t="n">
        <v>0.8557031</v>
      </c>
      <c r="I67" s="18" t="s">
        <v>349</v>
      </c>
      <c r="J67" s="20" t="s">
        <v>349</v>
      </c>
      <c r="K67" s="18" t="n">
        <v>8.832995159999999</v>
      </c>
      <c r="L67" s="20" t="n">
        <v>1.37039694</v>
      </c>
      <c r="M67" s="18" t="n">
        <v>0.20516256</v>
      </c>
      <c r="N67" s="20" t="n">
        <v>0.20433488</v>
      </c>
      <c r="O67" s="18" t="n">
        <v>0</v>
      </c>
      <c r="P67" s="20" t="n">
        <v>0</v>
      </c>
      <c r="Q67" s="18" t="n">
        <v>0</v>
      </c>
      <c r="R67" s="20" t="n">
        <v>0</v>
      </c>
    </row>
    <row r="68" spans="1:18">
      <c r="A68" s="15" t="s">
        <v>410</v>
      </c>
      <c r="B68" s="17" t="n">
        <v>6034</v>
      </c>
      <c r="C68" s="18">
        <f>(5048.0/B68*100)</f>
        <v/>
      </c>
      <c r="D68" s="19" t="n">
        <v>986</v>
      </c>
      <c r="E68" s="18" t="n">
        <v>86.63601849</v>
      </c>
      <c r="F68" s="20" t="n">
        <v>1.16057114</v>
      </c>
      <c r="G68" s="18" t="n">
        <v>6.66559399</v>
      </c>
      <c r="H68" s="20" t="n">
        <v>0.85807978</v>
      </c>
      <c r="I68" s="18" t="s">
        <v>349</v>
      </c>
      <c r="J68" s="20" t="s">
        <v>349</v>
      </c>
      <c r="K68" s="18" t="n">
        <v>6.69838752</v>
      </c>
      <c r="L68" s="20" t="n">
        <v>0.73285954</v>
      </c>
      <c r="M68" s="18" t="n">
        <v>0</v>
      </c>
      <c r="N68" s="20" t="n">
        <v>0</v>
      </c>
      <c r="O68" s="18" t="n">
        <v>0</v>
      </c>
      <c r="P68" s="20" t="n">
        <v>0</v>
      </c>
      <c r="Q68" s="18" t="n">
        <v>0</v>
      </c>
      <c r="R68" s="20" t="n">
        <v>0</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(2756.0/B70*100)</f>
        <v/>
      </c>
      <c r="D70" s="19" t="n">
        <v>351</v>
      </c>
      <c r="E70" s="18" t="n">
        <v>85.60274602</v>
      </c>
      <c r="F70" s="20" t="n">
        <v>2.10566915</v>
      </c>
      <c r="G70" s="18" t="n">
        <v>6.63973625</v>
      </c>
      <c r="H70" s="20" t="n">
        <v>1.58269092</v>
      </c>
      <c r="I70" s="18" t="s">
        <v>349</v>
      </c>
      <c r="J70" s="20" t="s">
        <v>349</v>
      </c>
      <c r="K70" s="18" t="n">
        <v>7.18886722</v>
      </c>
      <c r="L70" s="20" t="n">
        <v>1.33418016</v>
      </c>
      <c r="M70" s="18" t="n">
        <v>0.56865052</v>
      </c>
      <c r="N70" s="20" t="n">
        <v>0.35691597</v>
      </c>
      <c r="O70" s="18" t="n">
        <v>0</v>
      </c>
      <c r="P70" s="20" t="n">
        <v>0</v>
      </c>
      <c r="Q70" s="18" t="n">
        <v>0</v>
      </c>
      <c r="R70" s="20" t="n">
        <v>0</v>
      </c>
    </row>
    <row r="71" spans="1:18">
      <c r="A71" s="15" t="s">
        <v>413</v>
      </c>
      <c r="B71" s="17" t="n">
        <v>2973</v>
      </c>
      <c r="C71" s="18">
        <f>(2593.0/B71*100)</f>
        <v/>
      </c>
      <c r="D71" s="19" t="n">
        <v>380</v>
      </c>
      <c r="E71" s="18" t="n">
        <v>67.20637347</v>
      </c>
      <c r="F71" s="20" t="n">
        <v>2.59428609</v>
      </c>
      <c r="G71" s="18" t="n">
        <v>31.57320995</v>
      </c>
      <c r="H71" s="20" t="n">
        <v>2.5493441</v>
      </c>
      <c r="I71" s="18" t="s">
        <v>349</v>
      </c>
      <c r="J71" s="20" t="s">
        <v>349</v>
      </c>
      <c r="K71" s="18" t="n">
        <v>1.22041658</v>
      </c>
      <c r="L71" s="20" t="n">
        <v>0.51270977</v>
      </c>
      <c r="M71" s="18" t="n">
        <v>0</v>
      </c>
      <c r="N71" s="20" t="n">
        <v>0</v>
      </c>
      <c r="O71" s="18" t="n">
        <v>0</v>
      </c>
      <c r="P71" s="20" t="n">
        <v>0</v>
      </c>
      <c r="Q71" s="18" t="n">
        <v>0</v>
      </c>
      <c r="R71" s="20" t="n">
        <v>0</v>
      </c>
    </row>
    <row r="72" spans="1:18">
      <c r="A72" s="15" t="s">
        <v>414</v>
      </c>
      <c r="B72" s="17" t="n">
        <v>3819</v>
      </c>
      <c r="C72" s="18">
        <f>(3341.0/B72*100)</f>
        <v/>
      </c>
      <c r="D72" s="19" t="n">
        <v>478</v>
      </c>
      <c r="E72" s="18" t="n">
        <v>68.26414522</v>
      </c>
      <c r="F72" s="20" t="n">
        <v>2.18989176</v>
      </c>
      <c r="G72" s="18" t="n">
        <v>30.47006975</v>
      </c>
      <c r="H72" s="20" t="n">
        <v>2.17420236</v>
      </c>
      <c r="I72" s="18" t="s">
        <v>349</v>
      </c>
      <c r="J72" s="20" t="s">
        <v>349</v>
      </c>
      <c r="K72" s="18" t="n">
        <v>1.26578503</v>
      </c>
      <c r="L72" s="20" t="n">
        <v>0.40847728</v>
      </c>
      <c r="M72" s="18" t="n">
        <v>0</v>
      </c>
      <c r="N72" s="20" t="n">
        <v>0</v>
      </c>
      <c r="O72" s="18" t="n">
        <v>0</v>
      </c>
      <c r="P72" s="20" t="n">
        <v>0</v>
      </c>
      <c r="Q72" s="18" t="n">
        <v>0</v>
      </c>
      <c r="R72" s="20" t="n">
        <v>0</v>
      </c>
    </row>
    <row r="73" spans="1:18">
      <c r="A73" s="15" t="s">
        <v>415</v>
      </c>
      <c r="B73" s="17" t="n">
        <v>4652</v>
      </c>
      <c r="C73" s="18">
        <f>(4127.0/B73*100)</f>
        <v/>
      </c>
      <c r="D73" s="19" t="n">
        <v>525</v>
      </c>
      <c r="E73" s="18" t="n">
        <v>89.05429092</v>
      </c>
      <c r="F73" s="20" t="n">
        <v>1.71774388</v>
      </c>
      <c r="G73" s="18" t="n">
        <v>9.66851058</v>
      </c>
      <c r="H73" s="20" t="n">
        <v>1.46324713</v>
      </c>
      <c r="I73" s="18" t="s">
        <v>349</v>
      </c>
      <c r="J73" s="20" t="s">
        <v>349</v>
      </c>
      <c r="K73" s="18" t="n">
        <v>0.96444492</v>
      </c>
      <c r="L73" s="20" t="n">
        <v>0.619119</v>
      </c>
      <c r="M73" s="18" t="n">
        <v>0.31275358</v>
      </c>
      <c r="N73" s="20" t="n">
        <v>0.31321054</v>
      </c>
      <c r="O73" s="18" t="n">
        <v>0</v>
      </c>
      <c r="P73" s="20" t="n">
        <v>0</v>
      </c>
      <c r="Q73" s="18" t="n">
        <v>0</v>
      </c>
      <c r="R73" s="20" t="n">
        <v>0</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(2634.0/B75*100)</f>
        <v/>
      </c>
      <c r="D75" s="19" t="n">
        <v>335</v>
      </c>
      <c r="E75" s="18" t="n">
        <v>83.01570362</v>
      </c>
      <c r="F75" s="20" t="n">
        <v>2.02717871</v>
      </c>
      <c r="G75" s="18" t="n">
        <v>3.56319401</v>
      </c>
      <c r="H75" s="20" t="n">
        <v>1.14199912</v>
      </c>
      <c r="I75" s="18" t="s">
        <v>349</v>
      </c>
      <c r="J75" s="20" t="s">
        <v>349</v>
      </c>
      <c r="K75" s="18" t="n">
        <v>13.1460644</v>
      </c>
      <c r="L75" s="20" t="n">
        <v>1.88083401</v>
      </c>
      <c r="M75" s="18" t="n">
        <v>0.27503797</v>
      </c>
      <c r="N75" s="20" t="n">
        <v>0.27273091</v>
      </c>
      <c r="O75" s="18" t="n">
        <v>0</v>
      </c>
      <c r="P75" s="20" t="n">
        <v>0</v>
      </c>
      <c r="Q75" s="18" t="n">
        <v>0</v>
      </c>
      <c r="R75" s="20" t="n">
        <v>0</v>
      </c>
    </row>
    <row r="76" spans="1:18">
      <c r="A76" s="15" t="s">
        <v>418</v>
      </c>
      <c r="B76" s="17" t="n">
        <v>7115</v>
      </c>
      <c r="C76" s="18">
        <f>(6238.0/B76*100)</f>
        <v/>
      </c>
      <c r="D76" s="19" t="n">
        <v>877</v>
      </c>
      <c r="E76" s="18" t="n">
        <v>86.19919382</v>
      </c>
      <c r="F76" s="20" t="n">
        <v>1.59073753</v>
      </c>
      <c r="G76" s="18" t="n">
        <v>9.30998731</v>
      </c>
      <c r="H76" s="20" t="n">
        <v>1.39620276</v>
      </c>
      <c r="I76" s="18" t="s">
        <v>349</v>
      </c>
      <c r="J76" s="20" t="s">
        <v>349</v>
      </c>
      <c r="K76" s="18" t="n">
        <v>4.25768282</v>
      </c>
      <c r="L76" s="20" t="n">
        <v>0.9056071999999999</v>
      </c>
      <c r="M76" s="18" t="n">
        <v>0.23313605</v>
      </c>
      <c r="N76" s="20" t="n">
        <v>0.17144429</v>
      </c>
      <c r="O76" s="18" t="n">
        <v>0</v>
      </c>
      <c r="P76" s="20" t="n">
        <v>0</v>
      </c>
      <c r="Q76" s="18" t="n">
        <v>0</v>
      </c>
      <c r="R76" s="20" t="n">
        <v>0</v>
      </c>
    </row>
    <row r="77" spans="1:18">
      <c r="A77" s="15" t="s">
        <v>419</v>
      </c>
      <c r="B77" s="17" t="n">
        <v>3154</v>
      </c>
      <c r="C77" s="18">
        <f>(2794.0/B77*100)</f>
        <v/>
      </c>
      <c r="D77" s="19" t="n">
        <v>360</v>
      </c>
      <c r="E77" s="18" t="n">
        <v>77.32146079</v>
      </c>
      <c r="F77" s="20" t="n">
        <v>2.08171871</v>
      </c>
      <c r="G77" s="18" t="n">
        <v>5.31813818</v>
      </c>
      <c r="H77" s="20" t="n">
        <v>1.36709989</v>
      </c>
      <c r="I77" s="18" t="s">
        <v>349</v>
      </c>
      <c r="J77" s="20" t="s">
        <v>349</v>
      </c>
      <c r="K77" s="18" t="n">
        <v>16.53661937</v>
      </c>
      <c r="L77" s="20" t="n">
        <v>2.10344816</v>
      </c>
      <c r="M77" s="18" t="n">
        <v>0.82378166</v>
      </c>
      <c r="N77" s="20" t="n">
        <v>0.47068443</v>
      </c>
      <c r="O77" s="18" t="n">
        <v>0</v>
      </c>
      <c r="P77" s="20" t="n">
        <v>0</v>
      </c>
      <c r="Q77" s="18" t="n">
        <v>0</v>
      </c>
      <c r="R77" s="20" t="n">
        <v>0</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(4126.0/B81*100)</f>
        <v/>
      </c>
      <c r="D81" s="19" t="n">
        <v>572</v>
      </c>
      <c r="E81" s="18" t="n">
        <v>86.35369230000001</v>
      </c>
      <c r="F81" s="20" t="n">
        <v>1.8383025</v>
      </c>
      <c r="G81" s="18" t="n">
        <v>11.04776042</v>
      </c>
      <c r="H81" s="20" t="n">
        <v>1.65898492</v>
      </c>
      <c r="I81" s="18" t="s">
        <v>349</v>
      </c>
      <c r="J81" s="20" t="s">
        <v>349</v>
      </c>
      <c r="K81" s="18" t="n">
        <v>2.59854728</v>
      </c>
      <c r="L81" s="20" t="n">
        <v>0.72972716</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(6277.0/B7*100)</f>
        <v/>
      </c>
      <c r="D7" s="19" t="n">
        <v>886</v>
      </c>
      <c r="E7" s="18" t="n">
        <v>7.2204593</v>
      </c>
      <c r="F7" s="20" t="n">
        <v>0.87424616</v>
      </c>
      <c r="G7" s="18" t="n">
        <v>91.59193716</v>
      </c>
      <c r="H7" s="20" t="n">
        <v>0.9055131199999999</v>
      </c>
      <c r="I7" s="18" t="s">
        <v>349</v>
      </c>
      <c r="J7" s="20" t="s">
        <v>349</v>
      </c>
      <c r="K7" s="18" t="n">
        <v>0</v>
      </c>
      <c r="L7" s="20" t="n">
        <v>0</v>
      </c>
      <c r="M7" s="18" t="n">
        <v>0</v>
      </c>
      <c r="N7" s="20" t="n">
        <v>0</v>
      </c>
      <c r="O7" s="18" t="n">
        <v>0</v>
      </c>
      <c r="P7" s="20" t="n">
        <v>0</v>
      </c>
      <c r="Q7" s="18" t="n">
        <v>1.18760355</v>
      </c>
      <c r="R7" s="20" t="n">
        <v>0.34583091</v>
      </c>
    </row>
    <row r="8" spans="1:18">
      <c r="A8" s="15" t="s">
        <v>350</v>
      </c>
      <c r="B8" s="17" t="n">
        <v>3443</v>
      </c>
      <c r="C8" s="18">
        <f>(3002.0/B8*100)</f>
        <v/>
      </c>
      <c r="D8" s="19" t="n">
        <v>441</v>
      </c>
      <c r="E8" s="18" t="n">
        <v>15.23669727</v>
      </c>
      <c r="F8" s="20" t="n">
        <v>2.12285756</v>
      </c>
      <c r="G8" s="18" t="n">
        <v>80.19582679</v>
      </c>
      <c r="H8" s="20" t="n">
        <v>2.24254545</v>
      </c>
      <c r="I8" s="18" t="s">
        <v>349</v>
      </c>
      <c r="J8" s="20" t="s">
        <v>349</v>
      </c>
      <c r="K8" s="18" t="n">
        <v>0</v>
      </c>
      <c r="L8" s="20" t="n">
        <v>0</v>
      </c>
      <c r="M8" s="18" t="n">
        <v>0</v>
      </c>
      <c r="N8" s="20" t="n">
        <v>0</v>
      </c>
      <c r="O8" s="18" t="n">
        <v>0</v>
      </c>
      <c r="P8" s="20" t="n">
        <v>0</v>
      </c>
      <c r="Q8" s="18" t="n">
        <v>4.56747595</v>
      </c>
      <c r="R8" s="20" t="n">
        <v>1.07302065</v>
      </c>
    </row>
    <row r="9" spans="1:18">
      <c r="A9" s="15" t="s">
        <v>351</v>
      </c>
      <c r="B9" s="17" t="n">
        <v>4752</v>
      </c>
      <c r="C9" s="18">
        <f>(4075.0/B9*100)</f>
        <v/>
      </c>
      <c r="D9" s="19" t="n">
        <v>677</v>
      </c>
      <c r="E9" s="18" t="n">
        <v>10.44491446</v>
      </c>
      <c r="F9" s="20" t="n">
        <v>1.45045186</v>
      </c>
      <c r="G9" s="18" t="n">
        <v>85.42791267</v>
      </c>
      <c r="H9" s="20" t="n">
        <v>1.88006461</v>
      </c>
      <c r="I9" s="18" t="s">
        <v>349</v>
      </c>
      <c r="J9" s="20" t="s">
        <v>349</v>
      </c>
      <c r="K9" s="18" t="n">
        <v>0.6583616799999999</v>
      </c>
      <c r="L9" s="20" t="n">
        <v>0.33288418</v>
      </c>
      <c r="M9" s="18" t="n">
        <v>0</v>
      </c>
      <c r="N9" s="20" t="n">
        <v>0</v>
      </c>
      <c r="O9" s="18" t="n">
        <v>0</v>
      </c>
      <c r="P9" s="20" t="n">
        <v>0</v>
      </c>
      <c r="Q9" s="18" t="n">
        <v>3.46881119</v>
      </c>
      <c r="R9" s="20" t="n">
        <v>0.8555233800000001</v>
      </c>
    </row>
    <row r="10" spans="1:18">
      <c r="A10" s="15" t="s">
        <v>352</v>
      </c>
      <c r="B10" s="17" t="n">
        <v>10022</v>
      </c>
      <c r="C10" s="18">
        <f>(8753.0/B10*100)</f>
        <v/>
      </c>
      <c r="D10" s="19" t="n">
        <v>1269</v>
      </c>
      <c r="E10" s="18" t="n">
        <v>7.15935944</v>
      </c>
      <c r="F10" s="20" t="n">
        <v>0.9631717400000001</v>
      </c>
      <c r="G10" s="18" t="n">
        <v>92.00731346000001</v>
      </c>
      <c r="H10" s="20" t="n">
        <v>1.0258009</v>
      </c>
      <c r="I10" s="18" t="s">
        <v>349</v>
      </c>
      <c r="J10" s="20" t="s">
        <v>349</v>
      </c>
      <c r="K10" s="18" t="n">
        <v>0.02487942</v>
      </c>
      <c r="L10" s="20" t="n">
        <v>0.0209119</v>
      </c>
      <c r="M10" s="18" t="n">
        <v>0</v>
      </c>
      <c r="N10" s="20" t="n">
        <v>0</v>
      </c>
      <c r="O10" s="18" t="n">
        <v>0</v>
      </c>
      <c r="P10" s="20" t="n">
        <v>0</v>
      </c>
      <c r="Q10" s="18" t="n">
        <v>0.80844768</v>
      </c>
      <c r="R10" s="20" t="n">
        <v>0.31461787</v>
      </c>
    </row>
    <row r="11" spans="1:18">
      <c r="A11" s="15" t="s">
        <v>353</v>
      </c>
      <c r="B11" s="17" t="n">
        <v>3500</v>
      </c>
      <c r="C11" s="18">
        <f>(3074.0/B11*100)</f>
        <v/>
      </c>
      <c r="D11" s="19" t="n">
        <v>426</v>
      </c>
      <c r="E11" s="18" t="n">
        <v>18.36622998</v>
      </c>
      <c r="F11" s="20" t="n">
        <v>2.11949648</v>
      </c>
      <c r="G11" s="18" t="n">
        <v>75.89458368</v>
      </c>
      <c r="H11" s="20" t="n">
        <v>2.32792464</v>
      </c>
      <c r="I11" s="18" t="s">
        <v>349</v>
      </c>
      <c r="J11" s="20" t="s">
        <v>349</v>
      </c>
      <c r="K11" s="18" t="n">
        <v>0.28145267</v>
      </c>
      <c r="L11" s="20" t="n">
        <v>0.27907336</v>
      </c>
      <c r="M11" s="18" t="n">
        <v>0</v>
      </c>
      <c r="N11" s="20" t="n">
        <v>0</v>
      </c>
      <c r="O11" s="18" t="n">
        <v>0</v>
      </c>
      <c r="P11" s="20" t="n">
        <v>0</v>
      </c>
      <c r="Q11" s="18" t="n">
        <v>5.45773367</v>
      </c>
      <c r="R11" s="20" t="n">
        <v>1.18105357</v>
      </c>
    </row>
    <row r="12" spans="1:18">
      <c r="A12" s="15" t="s">
        <v>354</v>
      </c>
      <c r="B12" s="17" t="n">
        <v>3422</v>
      </c>
      <c r="C12" s="18">
        <f>(2990.0/B12*100)</f>
        <v/>
      </c>
      <c r="D12" s="19" t="n">
        <v>432</v>
      </c>
      <c r="E12" s="18" t="n">
        <v>11.99971141</v>
      </c>
      <c r="F12" s="20" t="n">
        <v>2.1565962</v>
      </c>
      <c r="G12" s="18" t="n">
        <v>85.76271511</v>
      </c>
      <c r="H12" s="20" t="n">
        <v>2.70683609</v>
      </c>
      <c r="I12" s="18" t="s">
        <v>349</v>
      </c>
      <c r="J12" s="20" t="s">
        <v>349</v>
      </c>
      <c r="K12" s="18" t="n">
        <v>0</v>
      </c>
      <c r="L12" s="20" t="n">
        <v>0</v>
      </c>
      <c r="M12" s="18" t="n">
        <v>0</v>
      </c>
      <c r="N12" s="20" t="n">
        <v>0</v>
      </c>
      <c r="O12" s="18" t="n">
        <v>0</v>
      </c>
      <c r="P12" s="20" t="n">
        <v>0</v>
      </c>
      <c r="Q12" s="18" t="n">
        <v>2.23757347</v>
      </c>
      <c r="R12" s="20" t="n">
        <v>1.00587722</v>
      </c>
    </row>
    <row r="13" spans="1:18">
      <c r="A13" s="15" t="s">
        <v>355</v>
      </c>
      <c r="B13" s="17" t="n">
        <v>3602</v>
      </c>
      <c r="C13" s="18">
        <f>(3018.0/B13*100)</f>
        <v/>
      </c>
      <c r="D13" s="19" t="n">
        <v>584</v>
      </c>
      <c r="E13" s="18" t="n">
        <v>5.57668423</v>
      </c>
      <c r="F13" s="20" t="n">
        <v>0.9327004</v>
      </c>
      <c r="G13" s="18" t="n">
        <v>92.05779318</v>
      </c>
      <c r="H13" s="20" t="n">
        <v>1.24411224</v>
      </c>
      <c r="I13" s="18" t="s">
        <v>349</v>
      </c>
      <c r="J13" s="20" t="s">
        <v>349</v>
      </c>
      <c r="K13" s="18" t="n">
        <v>0.78914063</v>
      </c>
      <c r="L13" s="20" t="n">
        <v>0.43923119</v>
      </c>
      <c r="M13" s="18" t="n">
        <v>0</v>
      </c>
      <c r="N13" s="20" t="n">
        <v>0</v>
      </c>
      <c r="O13" s="18" t="n">
        <v>0</v>
      </c>
      <c r="P13" s="20" t="n">
        <v>0</v>
      </c>
      <c r="Q13" s="18" t="n">
        <v>1.57638196</v>
      </c>
      <c r="R13" s="20" t="n">
        <v>0.55505182</v>
      </c>
    </row>
    <row r="14" spans="1:18">
      <c r="A14" s="15" t="s">
        <v>356</v>
      </c>
      <c r="B14" s="17" t="n">
        <v>2788</v>
      </c>
      <c r="C14" s="18">
        <f>(2455.0/B14*100)</f>
        <v/>
      </c>
      <c r="D14" s="19" t="n">
        <v>333</v>
      </c>
      <c r="E14" s="18" t="n">
        <v>14.24252186</v>
      </c>
      <c r="F14" s="20" t="n">
        <v>2.00013654</v>
      </c>
      <c r="G14" s="18" t="n">
        <v>85.50970393999999</v>
      </c>
      <c r="H14" s="20" t="n">
        <v>2.10284016</v>
      </c>
      <c r="I14" s="18" t="s">
        <v>349</v>
      </c>
      <c r="J14" s="20" t="s">
        <v>349</v>
      </c>
      <c r="K14" s="18" t="n">
        <v>0</v>
      </c>
      <c r="L14" s="20" t="n">
        <v>0</v>
      </c>
      <c r="M14" s="18" t="n">
        <v>0</v>
      </c>
      <c r="N14" s="20" t="n">
        <v>0</v>
      </c>
      <c r="O14" s="18" t="n">
        <v>0</v>
      </c>
      <c r="P14" s="20" t="n">
        <v>0</v>
      </c>
      <c r="Q14" s="18" t="n">
        <v>0.2477742</v>
      </c>
      <c r="R14" s="20" t="n">
        <v>0.25095866</v>
      </c>
    </row>
    <row r="15" spans="1:18">
      <c r="A15" s="15" t="s">
        <v>357</v>
      </c>
      <c r="B15" s="17" t="n">
        <v>2863</v>
      </c>
      <c r="C15" s="18">
        <f>(2504.0/B15*100)</f>
        <v/>
      </c>
      <c r="D15" s="19" t="n">
        <v>359</v>
      </c>
      <c r="E15" s="18" t="n">
        <v>6.06256538</v>
      </c>
      <c r="F15" s="20" t="n">
        <v>1.51658589</v>
      </c>
      <c r="G15" s="18" t="n">
        <v>90.86925427</v>
      </c>
      <c r="H15" s="20" t="n">
        <v>2.27478094</v>
      </c>
      <c r="I15" s="18" t="s">
        <v>349</v>
      </c>
      <c r="J15" s="20" t="s">
        <v>349</v>
      </c>
      <c r="K15" s="18" t="n">
        <v>0.86720337</v>
      </c>
      <c r="L15" s="20" t="n">
        <v>0.67304599</v>
      </c>
      <c r="M15" s="18" t="n">
        <v>0</v>
      </c>
      <c r="N15" s="20" t="n">
        <v>0</v>
      </c>
      <c r="O15" s="18" t="n">
        <v>0</v>
      </c>
      <c r="P15" s="20" t="n">
        <v>0</v>
      </c>
      <c r="Q15" s="18" t="n">
        <v>2.20097699</v>
      </c>
      <c r="R15" s="20" t="n">
        <v>0.8692003700000001</v>
      </c>
    </row>
    <row r="16" spans="1:18">
      <c r="A16" s="15" t="s">
        <v>358</v>
      </c>
      <c r="B16" s="17" t="n">
        <v>3111</v>
      </c>
      <c r="C16" s="18">
        <f>(2738.0/B16*100)</f>
        <v/>
      </c>
      <c r="D16" s="19" t="n">
        <v>373</v>
      </c>
      <c r="E16" s="18" t="n">
        <v>6.36625432</v>
      </c>
      <c r="F16" s="20" t="n">
        <v>1.43659489</v>
      </c>
      <c r="G16" s="18" t="n">
        <v>92.51238091</v>
      </c>
      <c r="H16" s="20" t="n">
        <v>1.44917003</v>
      </c>
      <c r="I16" s="18" t="s">
        <v>349</v>
      </c>
      <c r="J16" s="20" t="s">
        <v>349</v>
      </c>
      <c r="K16" s="18" t="n">
        <v>0</v>
      </c>
      <c r="L16" s="20" t="n">
        <v>0</v>
      </c>
      <c r="M16" s="18" t="n">
        <v>0</v>
      </c>
      <c r="N16" s="20" t="n">
        <v>0</v>
      </c>
      <c r="O16" s="18" t="n">
        <v>0</v>
      </c>
      <c r="P16" s="20" t="n">
        <v>0</v>
      </c>
      <c r="Q16" s="18" t="n">
        <v>1.12136476</v>
      </c>
      <c r="R16" s="20" t="n">
        <v>0.49828192</v>
      </c>
    </row>
    <row r="17" spans="1:18">
      <c r="A17" s="15" t="s">
        <v>359</v>
      </c>
      <c r="B17" s="17" t="n">
        <v>3197</v>
      </c>
      <c r="C17" s="18">
        <f>(2765.0/B17*100)</f>
        <v/>
      </c>
      <c r="D17" s="19" t="n">
        <v>432</v>
      </c>
      <c r="E17" s="18" t="n">
        <v>11.1950924</v>
      </c>
      <c r="F17" s="20" t="n">
        <v>1.50170502</v>
      </c>
      <c r="G17" s="18" t="n">
        <v>84.50947565</v>
      </c>
      <c r="H17" s="20" t="n">
        <v>2.49469349</v>
      </c>
      <c r="I17" s="18" t="s">
        <v>349</v>
      </c>
      <c r="J17" s="20" t="s">
        <v>349</v>
      </c>
      <c r="K17" s="18" t="n">
        <v>0.6899524500000001</v>
      </c>
      <c r="L17" s="20" t="n">
        <v>0.5236505299999999</v>
      </c>
      <c r="M17" s="18" t="n">
        <v>0</v>
      </c>
      <c r="N17" s="20" t="n">
        <v>0</v>
      </c>
      <c r="O17" s="18" t="n">
        <v>0</v>
      </c>
      <c r="P17" s="20" t="n">
        <v>0</v>
      </c>
      <c r="Q17" s="18" t="n">
        <v>3.60547951</v>
      </c>
      <c r="R17" s="20" t="n">
        <v>1.37952046</v>
      </c>
    </row>
    <row r="18" spans="1:18">
      <c r="A18" s="15" t="s">
        <v>360</v>
      </c>
      <c r="B18" s="17" t="n">
        <v>2706</v>
      </c>
      <c r="C18" s="18">
        <f>(2382.0/B18*100)</f>
        <v/>
      </c>
      <c r="D18" s="19" t="n">
        <v>324</v>
      </c>
      <c r="E18" s="18" t="n">
        <v>19.43341284</v>
      </c>
      <c r="F18" s="20" t="n">
        <v>2.89038899</v>
      </c>
      <c r="G18" s="18" t="n">
        <v>75.63509329999999</v>
      </c>
      <c r="H18" s="20" t="n">
        <v>2.93769818</v>
      </c>
      <c r="I18" s="18" t="s">
        <v>349</v>
      </c>
      <c r="J18" s="20" t="s">
        <v>349</v>
      </c>
      <c r="K18" s="18" t="n">
        <v>0</v>
      </c>
      <c r="L18" s="20" t="n">
        <v>0</v>
      </c>
      <c r="M18" s="18" t="n">
        <v>0</v>
      </c>
      <c r="N18" s="20" t="n">
        <v>0</v>
      </c>
      <c r="O18" s="18" t="n">
        <v>0</v>
      </c>
      <c r="P18" s="20" t="n">
        <v>0</v>
      </c>
      <c r="Q18" s="18" t="n">
        <v>4.93149386</v>
      </c>
      <c r="R18" s="20" t="n">
        <v>1.25778018</v>
      </c>
    </row>
    <row r="19" spans="1:18">
      <c r="A19" s="15" t="s">
        <v>361</v>
      </c>
      <c r="B19" s="17" t="n">
        <v>2850</v>
      </c>
      <c r="C19" s="18">
        <f>(2525.0/B19*100)</f>
        <v/>
      </c>
      <c r="D19" s="19" t="n">
        <v>325</v>
      </c>
      <c r="E19" s="18" t="n">
        <v>16.7160211</v>
      </c>
      <c r="F19" s="20" t="n">
        <v>2.255624</v>
      </c>
      <c r="G19" s="18" t="n">
        <v>80.44092227</v>
      </c>
      <c r="H19" s="20" t="n">
        <v>2.46741819</v>
      </c>
      <c r="I19" s="18" t="s">
        <v>349</v>
      </c>
      <c r="J19" s="20" t="s">
        <v>349</v>
      </c>
      <c r="K19" s="18" t="n">
        <v>0</v>
      </c>
      <c r="L19" s="20" t="n">
        <v>0</v>
      </c>
      <c r="M19" s="18" t="n">
        <v>0</v>
      </c>
      <c r="N19" s="20" t="n">
        <v>0</v>
      </c>
      <c r="O19" s="18" t="n">
        <v>0</v>
      </c>
      <c r="P19" s="20" t="n">
        <v>0</v>
      </c>
      <c r="Q19" s="18" t="n">
        <v>2.84305662</v>
      </c>
      <c r="R19" s="20" t="n">
        <v>1.10626592</v>
      </c>
    </row>
    <row r="20" spans="1:18">
      <c r="A20" s="15" t="s">
        <v>362</v>
      </c>
      <c r="B20" s="17" t="n">
        <v>1741</v>
      </c>
      <c r="C20" s="18">
        <f>(1528.0/B20*100)</f>
        <v/>
      </c>
      <c r="D20" s="19" t="n">
        <v>213</v>
      </c>
      <c r="E20" s="18" t="n">
        <v>17.35938578</v>
      </c>
      <c r="F20" s="20" t="n">
        <v>2.70654112</v>
      </c>
      <c r="G20" s="18" t="n">
        <v>81.26349528</v>
      </c>
      <c r="H20" s="20" t="n">
        <v>2.85066867</v>
      </c>
      <c r="I20" s="18" t="s">
        <v>349</v>
      </c>
      <c r="J20" s="20" t="s">
        <v>349</v>
      </c>
      <c r="K20" s="18" t="n">
        <v>0</v>
      </c>
      <c r="L20" s="20" t="n">
        <v>0</v>
      </c>
      <c r="M20" s="18" t="n">
        <v>0</v>
      </c>
      <c r="N20" s="20" t="n">
        <v>0</v>
      </c>
      <c r="O20" s="18" t="n">
        <v>0</v>
      </c>
      <c r="P20" s="20" t="n">
        <v>0</v>
      </c>
      <c r="Q20" s="18" t="n">
        <v>1.37711894</v>
      </c>
      <c r="R20" s="20" t="n">
        <v>0.81189377</v>
      </c>
    </row>
    <row r="21" spans="1:18">
      <c r="A21" s="15" t="s">
        <v>363</v>
      </c>
      <c r="B21" s="17" t="n">
        <v>2833</v>
      </c>
      <c r="C21" s="18">
        <f>(2376.0/B21*100)</f>
        <v/>
      </c>
      <c r="D21" s="19" t="n">
        <v>457</v>
      </c>
      <c r="E21" s="18" t="n">
        <v>11.97211964</v>
      </c>
      <c r="F21" s="20" t="n">
        <v>1.47438455</v>
      </c>
      <c r="G21" s="18" t="n">
        <v>87.09649713</v>
      </c>
      <c r="H21" s="20" t="n">
        <v>1.47467259</v>
      </c>
      <c r="I21" s="18" t="s">
        <v>349</v>
      </c>
      <c r="J21" s="20" t="s">
        <v>349</v>
      </c>
      <c r="K21" s="18" t="n">
        <v>0</v>
      </c>
      <c r="L21" s="20" t="n">
        <v>0</v>
      </c>
      <c r="M21" s="18" t="n">
        <v>0</v>
      </c>
      <c r="N21" s="20" t="n">
        <v>0</v>
      </c>
      <c r="O21" s="18" t="n">
        <v>0</v>
      </c>
      <c r="P21" s="20" t="n">
        <v>0</v>
      </c>
      <c r="Q21" s="18" t="n">
        <v>0.93138323</v>
      </c>
      <c r="R21" s="20" t="n">
        <v>0.4649938</v>
      </c>
    </row>
    <row r="22" spans="1:18">
      <c r="A22" s="15" t="s">
        <v>364</v>
      </c>
      <c r="B22" s="17" t="n">
        <v>3667</v>
      </c>
      <c r="C22" s="18">
        <f>(3186.0/B22*100)</f>
        <v/>
      </c>
      <c r="D22" s="19" t="n">
        <v>481</v>
      </c>
      <c r="E22" s="18" t="n">
        <v>11.5610807</v>
      </c>
      <c r="F22" s="20" t="n">
        <v>1.9012699</v>
      </c>
      <c r="G22" s="18" t="n">
        <v>85.28527282</v>
      </c>
      <c r="H22" s="20" t="n">
        <v>2.18029862</v>
      </c>
      <c r="I22" s="18" t="s">
        <v>349</v>
      </c>
      <c r="J22" s="20" t="s">
        <v>349</v>
      </c>
      <c r="K22" s="18" t="n">
        <v>0.27996656</v>
      </c>
      <c r="L22" s="20" t="n">
        <v>0.27779968</v>
      </c>
      <c r="M22" s="18" t="n">
        <v>0</v>
      </c>
      <c r="N22" s="20" t="n">
        <v>0</v>
      </c>
      <c r="O22" s="18" t="n">
        <v>0</v>
      </c>
      <c r="P22" s="20" t="n">
        <v>0</v>
      </c>
      <c r="Q22" s="18" t="n">
        <v>2.87367993</v>
      </c>
      <c r="R22" s="20" t="n">
        <v>0.8124576</v>
      </c>
    </row>
    <row r="23" spans="1:18">
      <c r="A23" s="15" t="s">
        <v>365</v>
      </c>
      <c r="B23" s="17" t="n">
        <v>5792</v>
      </c>
      <c r="C23" s="18">
        <f>(5049.0/B23*100)</f>
        <v/>
      </c>
      <c r="D23" s="19" t="n">
        <v>743</v>
      </c>
      <c r="E23" s="18" t="n">
        <v>11.67222974</v>
      </c>
      <c r="F23" s="20" t="n">
        <v>2.03641966</v>
      </c>
      <c r="G23" s="18" t="n">
        <v>83.19633519999999</v>
      </c>
      <c r="H23" s="20" t="n">
        <v>2.33352471</v>
      </c>
      <c r="I23" s="18" t="s">
        <v>349</v>
      </c>
      <c r="J23" s="20" t="s">
        <v>349</v>
      </c>
      <c r="K23" s="18" t="n">
        <v>0</v>
      </c>
      <c r="L23" s="20" t="n">
        <v>0</v>
      </c>
      <c r="M23" s="18" t="n">
        <v>0</v>
      </c>
      <c r="N23" s="20" t="n">
        <v>0</v>
      </c>
      <c r="O23" s="18" t="n">
        <v>0</v>
      </c>
      <c r="P23" s="20" t="n">
        <v>0</v>
      </c>
      <c r="Q23" s="18" t="n">
        <v>5.13143506</v>
      </c>
      <c r="R23" s="20" t="n">
        <v>1.49034757</v>
      </c>
    </row>
    <row r="24" spans="1:18">
      <c r="A24" s="15" t="s">
        <v>366</v>
      </c>
      <c r="B24" s="17" t="n">
        <v>3309</v>
      </c>
      <c r="C24" s="18">
        <f>(2903.0/B24*100)</f>
        <v/>
      </c>
      <c r="D24" s="19" t="n">
        <v>406</v>
      </c>
      <c r="E24" s="18" t="n">
        <v>5.55518363</v>
      </c>
      <c r="F24" s="20" t="n">
        <v>1.05575089</v>
      </c>
      <c r="G24" s="18" t="n">
        <v>92.84471560999999</v>
      </c>
      <c r="H24" s="20" t="n">
        <v>1.28790317</v>
      </c>
      <c r="I24" s="18" t="s">
        <v>349</v>
      </c>
      <c r="J24" s="20" t="s">
        <v>349</v>
      </c>
      <c r="K24" s="18" t="n">
        <v>0</v>
      </c>
      <c r="L24" s="20" t="n">
        <v>0</v>
      </c>
      <c r="M24" s="18" t="n">
        <v>0</v>
      </c>
      <c r="N24" s="20" t="n">
        <v>0</v>
      </c>
      <c r="O24" s="18" t="n">
        <v>0</v>
      </c>
      <c r="P24" s="20" t="n">
        <v>0</v>
      </c>
      <c r="Q24" s="18" t="n">
        <v>1.60010075</v>
      </c>
      <c r="R24" s="20" t="n">
        <v>0.64523752</v>
      </c>
    </row>
    <row r="25" spans="1:18">
      <c r="A25" s="15" t="s">
        <v>367</v>
      </c>
      <c r="B25" s="17" t="n">
        <v>2669</v>
      </c>
      <c r="C25" s="18">
        <f>(2343.0/B25*100)</f>
        <v/>
      </c>
      <c r="D25" s="19" t="n">
        <v>326</v>
      </c>
      <c r="E25" s="18" t="n">
        <v>8.789293000000001</v>
      </c>
      <c r="F25" s="20" t="n">
        <v>1.75572669</v>
      </c>
      <c r="G25" s="18" t="n">
        <v>89.47684467000001</v>
      </c>
      <c r="H25" s="20" t="n">
        <v>1.98797057</v>
      </c>
      <c r="I25" s="18" t="s">
        <v>349</v>
      </c>
      <c r="J25" s="20" t="s">
        <v>349</v>
      </c>
      <c r="K25" s="18" t="n">
        <v>0.58672406</v>
      </c>
      <c r="L25" s="20" t="n">
        <v>0.49847186</v>
      </c>
      <c r="M25" s="18" t="n">
        <v>0</v>
      </c>
      <c r="N25" s="20" t="n">
        <v>0</v>
      </c>
      <c r="O25" s="18" t="n">
        <v>0</v>
      </c>
      <c r="P25" s="20" t="n">
        <v>0</v>
      </c>
      <c r="Q25" s="18" t="n">
        <v>1.14713828</v>
      </c>
      <c r="R25" s="20" t="n">
        <v>0.56573088</v>
      </c>
    </row>
    <row r="26" spans="1:18">
      <c r="A26" s="15" t="s">
        <v>368</v>
      </c>
      <c r="B26" s="17" t="n">
        <v>2419</v>
      </c>
      <c r="C26" s="18">
        <f>(2130.0/B26*100)</f>
        <v/>
      </c>
      <c r="D26" s="19" t="n">
        <v>289</v>
      </c>
      <c r="E26" s="18" t="n">
        <v>11.75537241</v>
      </c>
      <c r="F26" s="20" t="n">
        <v>2.20124821</v>
      </c>
      <c r="G26" s="18" t="n">
        <v>87.07271333</v>
      </c>
      <c r="H26" s="20" t="n">
        <v>2.27043914</v>
      </c>
      <c r="I26" s="18" t="s">
        <v>349</v>
      </c>
      <c r="J26" s="20" t="s">
        <v>349</v>
      </c>
      <c r="K26" s="18" t="n">
        <v>0.25971371</v>
      </c>
      <c r="L26" s="20" t="n">
        <v>0.26308117</v>
      </c>
      <c r="M26" s="18" t="n">
        <v>0</v>
      </c>
      <c r="N26" s="20" t="n">
        <v>0</v>
      </c>
      <c r="O26" s="18" t="n">
        <v>0</v>
      </c>
      <c r="P26" s="20" t="n">
        <v>0</v>
      </c>
      <c r="Q26" s="18" t="n">
        <v>0.91220056</v>
      </c>
      <c r="R26" s="20" t="n">
        <v>0.69053221</v>
      </c>
    </row>
    <row r="27" spans="1:18">
      <c r="A27" s="15" t="s">
        <v>369</v>
      </c>
      <c r="B27" s="17" t="n">
        <v>2683</v>
      </c>
      <c r="C27" s="18">
        <f>(2345.0/B27*100)</f>
        <v/>
      </c>
      <c r="D27" s="19" t="n">
        <v>338</v>
      </c>
      <c r="E27" s="18" t="n">
        <v>15.16372241</v>
      </c>
      <c r="F27" s="20" t="n">
        <v>2.1842465</v>
      </c>
      <c r="G27" s="18" t="n">
        <v>82.47901602</v>
      </c>
      <c r="H27" s="20" t="n">
        <v>2.28594616</v>
      </c>
      <c r="I27" s="18" t="s">
        <v>349</v>
      </c>
      <c r="J27" s="20" t="s">
        <v>349</v>
      </c>
      <c r="K27" s="18" t="n">
        <v>0</v>
      </c>
      <c r="L27" s="20" t="n">
        <v>0</v>
      </c>
      <c r="M27" s="18" t="n">
        <v>0</v>
      </c>
      <c r="N27" s="20" t="n">
        <v>0</v>
      </c>
      <c r="O27" s="18" t="n">
        <v>0</v>
      </c>
      <c r="P27" s="20" t="n">
        <v>0</v>
      </c>
      <c r="Q27" s="18" t="n">
        <v>2.35726157</v>
      </c>
      <c r="R27" s="20" t="n">
        <v>0.8184764</v>
      </c>
    </row>
    <row r="28" spans="1:18">
      <c r="A28" s="15" t="s">
        <v>370</v>
      </c>
      <c r="B28" s="17" t="n">
        <v>3803</v>
      </c>
      <c r="C28" s="18">
        <f>(3339.0/B28*100)</f>
        <v/>
      </c>
      <c r="D28" s="19" t="n">
        <v>464</v>
      </c>
      <c r="E28" s="18" t="n">
        <v>26.52101101</v>
      </c>
      <c r="F28" s="20" t="n">
        <v>2.28472229</v>
      </c>
      <c r="G28" s="18" t="n">
        <v>71.23530838000001</v>
      </c>
      <c r="H28" s="20" t="n">
        <v>2.34808164</v>
      </c>
      <c r="I28" s="18" t="s">
        <v>349</v>
      </c>
      <c r="J28" s="20" t="s">
        <v>349</v>
      </c>
      <c r="K28" s="18" t="n">
        <v>0</v>
      </c>
      <c r="L28" s="20" t="n">
        <v>0</v>
      </c>
      <c r="M28" s="18" t="n">
        <v>0</v>
      </c>
      <c r="N28" s="20" t="n">
        <v>0</v>
      </c>
      <c r="O28" s="18" t="n">
        <v>0</v>
      </c>
      <c r="P28" s="20" t="n">
        <v>0</v>
      </c>
      <c r="Q28" s="18" t="n">
        <v>2.24368061</v>
      </c>
      <c r="R28" s="20" t="n">
        <v>0.83870358</v>
      </c>
    </row>
    <row r="29" spans="1:18">
      <c r="A29" s="15" t="s">
        <v>371</v>
      </c>
      <c r="B29" s="17" t="n">
        <v>2700</v>
      </c>
      <c r="C29" s="18">
        <f>(2322.0/B29*100)</f>
        <v/>
      </c>
      <c r="D29" s="19" t="n">
        <v>378</v>
      </c>
      <c r="E29" s="18" t="n">
        <v>5.75030896</v>
      </c>
      <c r="F29" s="20" t="n">
        <v>1.41935872</v>
      </c>
      <c r="G29" s="18" t="n">
        <v>92.59843004</v>
      </c>
      <c r="H29" s="20" t="n">
        <v>1.73398872</v>
      </c>
      <c r="I29" s="18" t="s">
        <v>349</v>
      </c>
      <c r="J29" s="20" t="s">
        <v>349</v>
      </c>
      <c r="K29" s="18" t="n">
        <v>0.27713707</v>
      </c>
      <c r="L29" s="20" t="n">
        <v>0.27120519</v>
      </c>
      <c r="M29" s="18" t="n">
        <v>0</v>
      </c>
      <c r="N29" s="20" t="n">
        <v>0</v>
      </c>
      <c r="O29" s="18" t="n">
        <v>0</v>
      </c>
      <c r="P29" s="20" t="n">
        <v>0</v>
      </c>
      <c r="Q29" s="18" t="n">
        <v>1.37412393</v>
      </c>
      <c r="R29" s="20" t="n">
        <v>0.5557478300000001</v>
      </c>
    </row>
    <row r="30" spans="1:18">
      <c r="A30" s="15" t="s">
        <v>372</v>
      </c>
      <c r="B30" s="17" t="n">
        <v>2257</v>
      </c>
      <c r="C30" s="18">
        <f>(1954.0/B30*100)</f>
        <v/>
      </c>
      <c r="D30" s="19" t="n">
        <v>303</v>
      </c>
      <c r="E30" s="18" t="n">
        <v>5.38975008</v>
      </c>
      <c r="F30" s="20" t="n">
        <v>1.21190993</v>
      </c>
      <c r="G30" s="18" t="n">
        <v>92.16703384</v>
      </c>
      <c r="H30" s="20" t="n">
        <v>1.48238047</v>
      </c>
      <c r="I30" s="18" t="s">
        <v>349</v>
      </c>
      <c r="J30" s="20" t="s">
        <v>349</v>
      </c>
      <c r="K30" s="18" t="n">
        <v>0.30180688</v>
      </c>
      <c r="L30" s="20" t="n">
        <v>0.3073833</v>
      </c>
      <c r="M30" s="18" t="n">
        <v>0</v>
      </c>
      <c r="N30" s="20" t="n">
        <v>0</v>
      </c>
      <c r="O30" s="18" t="n">
        <v>0</v>
      </c>
      <c r="P30" s="20" t="n">
        <v>0</v>
      </c>
      <c r="Q30" s="18" t="n">
        <v>2.1414092</v>
      </c>
      <c r="R30" s="20" t="n">
        <v>0.80419635</v>
      </c>
    </row>
    <row r="31" spans="1:18">
      <c r="A31" s="15" t="s">
        <v>373</v>
      </c>
      <c r="B31" s="17" t="n">
        <v>2706</v>
      </c>
      <c r="C31" s="18">
        <f>(2387.0/B31*100)</f>
        <v/>
      </c>
      <c r="D31" s="19" t="n">
        <v>319</v>
      </c>
      <c r="E31" s="18" t="n">
        <v>11.61505862</v>
      </c>
      <c r="F31" s="20" t="n">
        <v>1.8063136</v>
      </c>
      <c r="G31" s="18" t="n">
        <v>86.11865569</v>
      </c>
      <c r="H31" s="20" t="n">
        <v>1.88470043</v>
      </c>
      <c r="I31" s="18" t="s">
        <v>349</v>
      </c>
      <c r="J31" s="20" t="s">
        <v>349</v>
      </c>
      <c r="K31" s="18" t="n">
        <v>0.65273473</v>
      </c>
      <c r="L31" s="20" t="n">
        <v>0.46294586</v>
      </c>
      <c r="M31" s="18" t="n">
        <v>0</v>
      </c>
      <c r="N31" s="20" t="n">
        <v>0</v>
      </c>
      <c r="O31" s="18" t="n">
        <v>0</v>
      </c>
      <c r="P31" s="20" t="n">
        <v>0</v>
      </c>
      <c r="Q31" s="18" t="n">
        <v>1.61355096</v>
      </c>
      <c r="R31" s="20" t="n">
        <v>0.72352134</v>
      </c>
    </row>
    <row r="32" spans="1:18">
      <c r="A32" s="15" t="s">
        <v>374</v>
      </c>
      <c r="B32" s="17" t="n">
        <v>2209</v>
      </c>
      <c r="C32" s="18">
        <f>(1846.0/B32*100)</f>
        <v/>
      </c>
      <c r="D32" s="19" t="n">
        <v>363</v>
      </c>
      <c r="E32" s="18" t="n">
        <v>10.12171736</v>
      </c>
      <c r="F32" s="20" t="n">
        <v>1.49291846</v>
      </c>
      <c r="G32" s="18" t="n">
        <v>88.74450668999999</v>
      </c>
      <c r="H32" s="20" t="n">
        <v>1.53947182</v>
      </c>
      <c r="I32" s="18" t="s">
        <v>349</v>
      </c>
      <c r="J32" s="20" t="s">
        <v>349</v>
      </c>
      <c r="K32" s="18" t="n">
        <v>0</v>
      </c>
      <c r="L32" s="20" t="n">
        <v>0</v>
      </c>
      <c r="M32" s="18" t="n">
        <v>0</v>
      </c>
      <c r="N32" s="20" t="n">
        <v>0</v>
      </c>
      <c r="O32" s="18" t="n">
        <v>0</v>
      </c>
      <c r="P32" s="20" t="n">
        <v>0</v>
      </c>
      <c r="Q32" s="18" t="n">
        <v>1.13377595</v>
      </c>
      <c r="R32" s="20" t="n">
        <v>0.54972242</v>
      </c>
    </row>
    <row r="33" spans="1:18">
      <c r="A33" s="15" t="s">
        <v>375</v>
      </c>
      <c r="B33" s="17" t="n">
        <v>3651</v>
      </c>
      <c r="C33" s="18">
        <f>(3215.0/B33*100)</f>
        <v/>
      </c>
      <c r="D33" s="19" t="n">
        <v>436</v>
      </c>
      <c r="E33" s="18" t="n">
        <v>10.28202426</v>
      </c>
      <c r="F33" s="20" t="n">
        <v>1.72799686</v>
      </c>
      <c r="G33" s="18" t="n">
        <v>88.7607186</v>
      </c>
      <c r="H33" s="20" t="n">
        <v>1.71597179</v>
      </c>
      <c r="I33" s="18" t="s">
        <v>349</v>
      </c>
      <c r="J33" s="20" t="s">
        <v>349</v>
      </c>
      <c r="K33" s="18" t="n">
        <v>0.33549931</v>
      </c>
      <c r="L33" s="20" t="n">
        <v>0.34890133</v>
      </c>
      <c r="M33" s="18" t="n">
        <v>0</v>
      </c>
      <c r="N33" s="20" t="n">
        <v>0</v>
      </c>
      <c r="O33" s="18" t="n">
        <v>0</v>
      </c>
      <c r="P33" s="20" t="n">
        <v>0</v>
      </c>
      <c r="Q33" s="18" t="n">
        <v>0.62175783</v>
      </c>
      <c r="R33" s="20" t="n">
        <v>0.34692877</v>
      </c>
    </row>
    <row r="34" spans="1:18">
      <c r="A34" s="15" t="s">
        <v>376</v>
      </c>
      <c r="B34" s="17" t="n">
        <v>3035</v>
      </c>
      <c r="C34" s="18">
        <f>(2592.0/B34*100)</f>
        <v/>
      </c>
      <c r="D34" s="19" t="n">
        <v>443</v>
      </c>
      <c r="E34" s="18" t="n">
        <v>20.24526091</v>
      </c>
      <c r="F34" s="20" t="n">
        <v>2.06714607</v>
      </c>
      <c r="G34" s="18" t="n">
        <v>74.89672581000001</v>
      </c>
      <c r="H34" s="20" t="n">
        <v>2.68107919</v>
      </c>
      <c r="I34" s="18" t="s">
        <v>349</v>
      </c>
      <c r="J34" s="20" t="s">
        <v>349</v>
      </c>
      <c r="K34" s="18" t="n">
        <v>0.42721305</v>
      </c>
      <c r="L34" s="20" t="n">
        <v>0.31616046</v>
      </c>
      <c r="M34" s="18" t="n">
        <v>0</v>
      </c>
      <c r="N34" s="20" t="n">
        <v>0</v>
      </c>
      <c r="O34" s="18" t="n">
        <v>0</v>
      </c>
      <c r="P34" s="20" t="n">
        <v>0</v>
      </c>
      <c r="Q34" s="18" t="n">
        <v>4.43080023</v>
      </c>
      <c r="R34" s="20" t="n">
        <v>1.41175093</v>
      </c>
    </row>
    <row r="35" spans="1:18">
      <c r="A35" s="15" t="s">
        <v>377</v>
      </c>
      <c r="B35" s="17" t="n">
        <v>2901</v>
      </c>
      <c r="C35" s="18">
        <f>(2528.0/B35*100)</f>
        <v/>
      </c>
      <c r="D35" s="19" t="n">
        <v>373</v>
      </c>
      <c r="E35" s="18" t="n">
        <v>14.88119789</v>
      </c>
      <c r="F35" s="20" t="n">
        <v>2.47659782</v>
      </c>
      <c r="G35" s="18" t="n">
        <v>83.73417234999999</v>
      </c>
      <c r="H35" s="20" t="n">
        <v>2.53013903</v>
      </c>
      <c r="I35" s="18" t="s">
        <v>349</v>
      </c>
      <c r="J35" s="20" t="s">
        <v>349</v>
      </c>
      <c r="K35" s="18" t="n">
        <v>0</v>
      </c>
      <c r="L35" s="20" t="n">
        <v>0</v>
      </c>
      <c r="M35" s="18" t="n">
        <v>0</v>
      </c>
      <c r="N35" s="20" t="n">
        <v>0</v>
      </c>
      <c r="O35" s="18" t="n">
        <v>0</v>
      </c>
      <c r="P35" s="20" t="n">
        <v>0</v>
      </c>
      <c r="Q35" s="18" t="n">
        <v>1.38462976</v>
      </c>
      <c r="R35" s="20" t="n">
        <v>0.6586249199999999</v>
      </c>
    </row>
    <row r="36" spans="1:18">
      <c r="A36" s="15" t="s">
        <v>378</v>
      </c>
      <c r="B36" s="17" t="n">
        <v>3404</v>
      </c>
      <c r="C36" s="18">
        <f>(2957.0/B36*100)</f>
        <v/>
      </c>
      <c r="D36" s="19" t="n">
        <v>447</v>
      </c>
      <c r="E36" s="18" t="n">
        <v>13.88122599</v>
      </c>
      <c r="F36" s="20" t="n">
        <v>1.76603106</v>
      </c>
      <c r="G36" s="18" t="n">
        <v>85.00473891</v>
      </c>
      <c r="H36" s="20" t="n">
        <v>1.84818824</v>
      </c>
      <c r="I36" s="18" t="s">
        <v>349</v>
      </c>
      <c r="J36" s="20" t="s">
        <v>349</v>
      </c>
      <c r="K36" s="18" t="n">
        <v>0</v>
      </c>
      <c r="L36" s="20" t="n">
        <v>0</v>
      </c>
      <c r="M36" s="18" t="n">
        <v>0</v>
      </c>
      <c r="N36" s="20" t="n">
        <v>0</v>
      </c>
      <c r="O36" s="18" t="n">
        <v>0</v>
      </c>
      <c r="P36" s="20" t="n">
        <v>0</v>
      </c>
      <c r="Q36" s="18" t="n">
        <v>1.1140351</v>
      </c>
      <c r="R36" s="20" t="n">
        <v>0.4873486</v>
      </c>
    </row>
    <row r="37" spans="1:18">
      <c r="A37" s="15" t="s">
        <v>379</v>
      </c>
      <c r="B37" s="17" t="n">
        <v>2731</v>
      </c>
      <c r="C37" s="18">
        <f>(2393.0/B37*100)</f>
        <v/>
      </c>
      <c r="D37" s="19" t="n">
        <v>338</v>
      </c>
      <c r="E37" s="18" t="n">
        <v>12.28095575</v>
      </c>
      <c r="F37" s="20" t="n">
        <v>1.83025054</v>
      </c>
      <c r="G37" s="18" t="n">
        <v>86.86922819999999</v>
      </c>
      <c r="H37" s="20" t="n">
        <v>1.76609702</v>
      </c>
      <c r="I37" s="18" t="s">
        <v>349</v>
      </c>
      <c r="J37" s="20" t="s">
        <v>349</v>
      </c>
      <c r="K37" s="18" t="n">
        <v>0.28740143</v>
      </c>
      <c r="L37" s="20" t="n">
        <v>0.28193377</v>
      </c>
      <c r="M37" s="18" t="n">
        <v>0</v>
      </c>
      <c r="N37" s="20" t="n">
        <v>0</v>
      </c>
      <c r="O37" s="18" t="n">
        <v>0</v>
      </c>
      <c r="P37" s="20" t="n">
        <v>0</v>
      </c>
      <c r="Q37" s="18" t="n">
        <v>0.56241463</v>
      </c>
      <c r="R37" s="20" t="n">
        <v>0.39931442</v>
      </c>
    </row>
    <row r="38" spans="1:18">
      <c r="A38" s="15" t="s">
        <v>380</v>
      </c>
      <c r="B38" s="17" t="n">
        <v>2807</v>
      </c>
      <c r="C38" s="18">
        <f>(2348.0/B38*100)</f>
        <v/>
      </c>
      <c r="D38" s="19" t="n">
        <v>459</v>
      </c>
      <c r="E38" s="18" t="n">
        <v>11.76637605</v>
      </c>
      <c r="F38" s="20" t="n">
        <v>1.81043351</v>
      </c>
      <c r="G38" s="18" t="n">
        <v>85.94413625</v>
      </c>
      <c r="H38" s="20" t="n">
        <v>1.80947224</v>
      </c>
      <c r="I38" s="18" t="s">
        <v>349</v>
      </c>
      <c r="J38" s="20" t="s">
        <v>349</v>
      </c>
      <c r="K38" s="18" t="n">
        <v>0</v>
      </c>
      <c r="L38" s="20" t="n">
        <v>0</v>
      </c>
      <c r="M38" s="18" t="n">
        <v>0</v>
      </c>
      <c r="N38" s="20" t="n">
        <v>0</v>
      </c>
      <c r="O38" s="18" t="n">
        <v>0</v>
      </c>
      <c r="P38" s="20" t="n">
        <v>0</v>
      </c>
      <c r="Q38" s="18" t="n">
        <v>2.2894877</v>
      </c>
      <c r="R38" s="20" t="n">
        <v>0.51949161</v>
      </c>
    </row>
    <row r="39" spans="1:18">
      <c r="A39" s="15" t="s">
        <v>381</v>
      </c>
      <c r="B39" s="17" t="n">
        <v>2938</v>
      </c>
      <c r="C39" s="18">
        <f>(2583.0/B39*100)</f>
        <v/>
      </c>
      <c r="D39" s="19" t="n">
        <v>355</v>
      </c>
      <c r="E39" s="18" t="n">
        <v>40.73254073</v>
      </c>
      <c r="F39" s="20" t="n">
        <v>2.43106313</v>
      </c>
      <c r="G39" s="18" t="n">
        <v>55.15683974</v>
      </c>
      <c r="H39" s="20" t="n">
        <v>2.57731661</v>
      </c>
      <c r="I39" s="18" t="s">
        <v>349</v>
      </c>
      <c r="J39" s="20" t="s">
        <v>349</v>
      </c>
      <c r="K39" s="18" t="n">
        <v>0</v>
      </c>
      <c r="L39" s="20" t="n">
        <v>0</v>
      </c>
      <c r="M39" s="18" t="n">
        <v>0</v>
      </c>
      <c r="N39" s="20" t="n">
        <v>0</v>
      </c>
      <c r="O39" s="18" t="n">
        <v>0</v>
      </c>
      <c r="P39" s="20" t="n">
        <v>0</v>
      </c>
      <c r="Q39" s="18" t="n">
        <v>4.11061953</v>
      </c>
      <c r="R39" s="20" t="n">
        <v>1.08986107</v>
      </c>
    </row>
    <row r="40" spans="1:18">
      <c r="A40" s="15" t="s">
        <v>382</v>
      </c>
      <c r="B40" s="17" t="n">
        <v>6922</v>
      </c>
      <c r="C40" s="18">
        <f>(6087.0/B40*100)</f>
        <v/>
      </c>
      <c r="D40" s="19" t="n">
        <v>835</v>
      </c>
      <c r="E40" s="18" t="n">
        <v>11.27567446</v>
      </c>
      <c r="F40" s="20" t="n">
        <v>1.94886983</v>
      </c>
      <c r="G40" s="18" t="n">
        <v>84.90939752</v>
      </c>
      <c r="H40" s="20" t="n">
        <v>2.18205256</v>
      </c>
      <c r="I40" s="18" t="s">
        <v>349</v>
      </c>
      <c r="J40" s="20" t="s">
        <v>349</v>
      </c>
      <c r="K40" s="18" t="n">
        <v>0.24603287</v>
      </c>
      <c r="L40" s="20" t="n">
        <v>0.30965792</v>
      </c>
      <c r="M40" s="18" t="n">
        <v>0</v>
      </c>
      <c r="N40" s="20" t="n">
        <v>0</v>
      </c>
      <c r="O40" s="18" t="n">
        <v>0</v>
      </c>
      <c r="P40" s="20" t="n">
        <v>0</v>
      </c>
      <c r="Q40" s="18" t="n">
        <v>3.56889514</v>
      </c>
      <c r="R40" s="20" t="n">
        <v>0.98528598</v>
      </c>
    </row>
    <row r="41" spans="1:18">
      <c r="A41" s="15" t="s">
        <v>383</v>
      </c>
      <c r="B41" s="17" t="n">
        <v>2854</v>
      </c>
      <c r="C41" s="18">
        <f>(2481.0/B41*100)</f>
        <v/>
      </c>
      <c r="D41" s="19" t="n">
        <v>373</v>
      </c>
      <c r="E41" s="18" t="n">
        <v>10.38760113</v>
      </c>
      <c r="F41" s="20" t="n">
        <v>1.82956199</v>
      </c>
      <c r="G41" s="18" t="n">
        <v>88.83950682</v>
      </c>
      <c r="H41" s="20" t="n">
        <v>1.92552543</v>
      </c>
      <c r="I41" s="18" t="s">
        <v>349</v>
      </c>
      <c r="J41" s="20" t="s">
        <v>349</v>
      </c>
      <c r="K41" s="18" t="n">
        <v>0</v>
      </c>
      <c r="L41" s="20" t="n">
        <v>0</v>
      </c>
      <c r="M41" s="18" t="n">
        <v>0</v>
      </c>
      <c r="N41" s="20" t="n">
        <v>0</v>
      </c>
      <c r="O41" s="18" t="n">
        <v>0</v>
      </c>
      <c r="P41" s="20" t="n">
        <v>0</v>
      </c>
      <c r="Q41" s="18" t="n">
        <v>0.7728920500000001</v>
      </c>
      <c r="R41" s="20" t="n">
        <v>0.46422523</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(10619.0/B46*100)</f>
        <v/>
      </c>
      <c r="D46" s="19" t="n">
        <v>1454</v>
      </c>
      <c r="E46" s="18" t="n">
        <v>32.02064359</v>
      </c>
      <c r="F46" s="20" t="n">
        <v>1.61446034</v>
      </c>
      <c r="G46" s="18" t="n">
        <v>62.18607364</v>
      </c>
      <c r="H46" s="20" t="n">
        <v>1.64773687</v>
      </c>
      <c r="I46" s="18" t="s">
        <v>349</v>
      </c>
      <c r="J46" s="20" t="s">
        <v>349</v>
      </c>
      <c r="K46" s="18" t="n">
        <v>0.24729012</v>
      </c>
      <c r="L46" s="20" t="n">
        <v>0.14271249</v>
      </c>
      <c r="M46" s="18" t="n">
        <v>0</v>
      </c>
      <c r="N46" s="20" t="n">
        <v>0</v>
      </c>
      <c r="O46" s="18" t="n">
        <v>0</v>
      </c>
      <c r="P46" s="20" t="n">
        <v>0</v>
      </c>
      <c r="Q46" s="18" t="n">
        <v>5.54599265</v>
      </c>
      <c r="R46" s="20" t="n">
        <v>0.619652</v>
      </c>
    </row>
    <row r="47" spans="1:18">
      <c r="A47" s="15" t="s">
        <v>389</v>
      </c>
      <c r="B47" s="17" t="n">
        <v>2823</v>
      </c>
      <c r="C47" s="18">
        <f>(2472.0/B47*100)</f>
        <v/>
      </c>
      <c r="D47" s="19" t="n">
        <v>351</v>
      </c>
      <c r="E47" s="18" t="n">
        <v>20.30474462</v>
      </c>
      <c r="F47" s="20" t="n">
        <v>2.19219468</v>
      </c>
      <c r="G47" s="18" t="n">
        <v>75.2223462</v>
      </c>
      <c r="H47" s="20" t="n">
        <v>2.32109477</v>
      </c>
      <c r="I47" s="18" t="s">
        <v>349</v>
      </c>
      <c r="J47" s="20" t="s">
        <v>349</v>
      </c>
      <c r="K47" s="18" t="n">
        <v>0</v>
      </c>
      <c r="L47" s="20" t="n">
        <v>0</v>
      </c>
      <c r="M47" s="18" t="n">
        <v>0</v>
      </c>
      <c r="N47" s="20" t="n">
        <v>0</v>
      </c>
      <c r="O47" s="18" t="n">
        <v>0</v>
      </c>
      <c r="P47" s="20" t="n">
        <v>0</v>
      </c>
      <c r="Q47" s="18" t="n">
        <v>4.47290918</v>
      </c>
      <c r="R47" s="20" t="n">
        <v>1.1958508</v>
      </c>
    </row>
    <row r="48" spans="1:18">
      <c r="A48" s="15" t="s">
        <v>390</v>
      </c>
      <c r="B48" s="17" t="n">
        <v>4682</v>
      </c>
      <c r="C48" s="18">
        <f>(4107.0/B48*100)</f>
        <v/>
      </c>
      <c r="D48" s="19" t="n">
        <v>575</v>
      </c>
      <c r="E48" s="18" t="n">
        <v>14.30384115</v>
      </c>
      <c r="F48" s="20" t="n">
        <v>1.76402912</v>
      </c>
      <c r="G48" s="18" t="n">
        <v>85.07741149</v>
      </c>
      <c r="H48" s="20" t="n">
        <v>1.77970446</v>
      </c>
      <c r="I48" s="18" t="s">
        <v>349</v>
      </c>
      <c r="J48" s="20" t="s">
        <v>349</v>
      </c>
      <c r="K48" s="18" t="n">
        <v>0.0498353</v>
      </c>
      <c r="L48" s="20" t="n">
        <v>0.04942934</v>
      </c>
      <c r="M48" s="18" t="n">
        <v>0</v>
      </c>
      <c r="N48" s="20" t="n">
        <v>0</v>
      </c>
      <c r="O48" s="18" t="n">
        <v>0</v>
      </c>
      <c r="P48" s="20" t="n">
        <v>0</v>
      </c>
      <c r="Q48" s="18" t="n">
        <v>0.5689120600000001</v>
      </c>
      <c r="R48" s="20" t="n">
        <v>0.40571827</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(5408.0/B50*100)</f>
        <v/>
      </c>
      <c r="D50" s="19" t="n">
        <v>750</v>
      </c>
      <c r="E50" s="18" t="n">
        <v>26.16117198</v>
      </c>
      <c r="F50" s="20" t="n">
        <v>2.19770464</v>
      </c>
      <c r="G50" s="18" t="n">
        <v>71.9611594</v>
      </c>
      <c r="H50" s="20" t="n">
        <v>2.25313501</v>
      </c>
      <c r="I50" s="18" t="s">
        <v>349</v>
      </c>
      <c r="J50" s="20" t="s">
        <v>349</v>
      </c>
      <c r="K50" s="18" t="n">
        <v>0.00451984</v>
      </c>
      <c r="L50" s="20" t="n">
        <v>0.00429056</v>
      </c>
      <c r="M50" s="18" t="n">
        <v>0</v>
      </c>
      <c r="N50" s="20" t="n">
        <v>0</v>
      </c>
      <c r="O50" s="18" t="n">
        <v>0</v>
      </c>
      <c r="P50" s="20" t="n">
        <v>0</v>
      </c>
      <c r="Q50" s="18" t="n">
        <v>1.87314878</v>
      </c>
      <c r="R50" s="20" t="n">
        <v>0.58415142</v>
      </c>
    </row>
    <row r="51" spans="1:18">
      <c r="A51" s="15" t="s">
        <v>393</v>
      </c>
      <c r="B51" s="17" t="n">
        <v>3494</v>
      </c>
      <c r="C51" s="18">
        <f>(2780.0/B51*100)</f>
        <v/>
      </c>
      <c r="D51" s="19" t="n">
        <v>714</v>
      </c>
      <c r="E51" s="18" t="n">
        <v>22.13922567</v>
      </c>
      <c r="F51" s="20" t="n">
        <v>1.82435197</v>
      </c>
      <c r="G51" s="18" t="n">
        <v>76.19462124</v>
      </c>
      <c r="H51" s="20" t="n">
        <v>1.95536529</v>
      </c>
      <c r="I51" s="18" t="s">
        <v>349</v>
      </c>
      <c r="J51" s="20" t="s">
        <v>349</v>
      </c>
      <c r="K51" s="18" t="n">
        <v>0.30100805</v>
      </c>
      <c r="L51" s="20" t="n">
        <v>0.21532062</v>
      </c>
      <c r="M51" s="18" t="n">
        <v>0</v>
      </c>
      <c r="N51" s="20" t="n">
        <v>0</v>
      </c>
      <c r="O51" s="18" t="n">
        <v>0</v>
      </c>
      <c r="P51" s="20" t="n">
        <v>0</v>
      </c>
      <c r="Q51" s="18" t="n">
        <v>1.36514504</v>
      </c>
      <c r="R51" s="20" t="n">
        <v>0.46924223</v>
      </c>
    </row>
    <row r="52" spans="1:18">
      <c r="A52" s="15" t="s">
        <v>394</v>
      </c>
      <c r="B52" s="17" t="n">
        <v>3013</v>
      </c>
      <c r="C52" s="18">
        <f>(2644.0/B52*100)</f>
        <v/>
      </c>
      <c r="D52" s="19" t="n">
        <v>369</v>
      </c>
      <c r="E52" s="18" t="n">
        <v>18.02131894</v>
      </c>
      <c r="F52" s="20" t="n">
        <v>2.21031291</v>
      </c>
      <c r="G52" s="18" t="n">
        <v>78.07452924</v>
      </c>
      <c r="H52" s="20" t="n">
        <v>2.06681805</v>
      </c>
      <c r="I52" s="18" t="s">
        <v>349</v>
      </c>
      <c r="J52" s="20" t="s">
        <v>349</v>
      </c>
      <c r="K52" s="18" t="n">
        <v>0</v>
      </c>
      <c r="L52" s="20" t="n">
        <v>0</v>
      </c>
      <c r="M52" s="18" t="n">
        <v>0</v>
      </c>
      <c r="N52" s="20" t="n">
        <v>0</v>
      </c>
      <c r="O52" s="18" t="n">
        <v>0</v>
      </c>
      <c r="P52" s="20" t="n">
        <v>0</v>
      </c>
      <c r="Q52" s="18" t="n">
        <v>3.90415182</v>
      </c>
      <c r="R52" s="20" t="n">
        <v>1.02717121</v>
      </c>
    </row>
    <row r="53" spans="1:18">
      <c r="A53" s="15" t="s">
        <v>395</v>
      </c>
      <c r="B53" s="17" t="n">
        <v>2760</v>
      </c>
      <c r="C53" s="18">
        <f>(2408.0/B53*100)</f>
        <v/>
      </c>
      <c r="D53" s="19" t="n">
        <v>352</v>
      </c>
      <c r="E53" s="18" t="n">
        <v>20.38649017</v>
      </c>
      <c r="F53" s="20" t="n">
        <v>2.25907852</v>
      </c>
      <c r="G53" s="18" t="n">
        <v>75.83797848</v>
      </c>
      <c r="H53" s="20" t="n">
        <v>2.5311337</v>
      </c>
      <c r="I53" s="18" t="s">
        <v>349</v>
      </c>
      <c r="J53" s="20" t="s">
        <v>349</v>
      </c>
      <c r="K53" s="18" t="n">
        <v>0</v>
      </c>
      <c r="L53" s="20" t="n">
        <v>0</v>
      </c>
      <c r="M53" s="18" t="n">
        <v>0</v>
      </c>
      <c r="N53" s="20" t="n">
        <v>0</v>
      </c>
      <c r="O53" s="18" t="n">
        <v>0</v>
      </c>
      <c r="P53" s="20" t="n">
        <v>0</v>
      </c>
      <c r="Q53" s="18" t="n">
        <v>3.77553134</v>
      </c>
      <c r="R53" s="20" t="n">
        <v>1.00150257</v>
      </c>
    </row>
    <row r="54" spans="1:18">
      <c r="A54" s="15" t="s">
        <v>396</v>
      </c>
      <c r="B54" s="17" t="n">
        <v>2474</v>
      </c>
      <c r="C54" s="18">
        <f>(2039.0/B54*100)</f>
        <v/>
      </c>
      <c r="D54" s="19" t="n">
        <v>435</v>
      </c>
      <c r="E54" s="18" t="n">
        <v>42.82127466</v>
      </c>
      <c r="F54" s="20" t="n">
        <v>2.91902154</v>
      </c>
      <c r="G54" s="18" t="n">
        <v>44.4482873</v>
      </c>
      <c r="H54" s="20" t="n">
        <v>2.9489632</v>
      </c>
      <c r="I54" s="18" t="s">
        <v>349</v>
      </c>
      <c r="J54" s="20" t="s">
        <v>349</v>
      </c>
      <c r="K54" s="18" t="n">
        <v>3.75981884</v>
      </c>
      <c r="L54" s="20" t="n">
        <v>1.0527684</v>
      </c>
      <c r="M54" s="18" t="n">
        <v>0</v>
      </c>
      <c r="N54" s="20" t="n">
        <v>0</v>
      </c>
      <c r="O54" s="18" t="n">
        <v>0</v>
      </c>
      <c r="P54" s="20" t="n">
        <v>0</v>
      </c>
      <c r="Q54" s="18" t="n">
        <v>8.970619190000001</v>
      </c>
      <c r="R54" s="20" t="n">
        <v>1.37799556</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(2339.0/B56*100)</f>
        <v/>
      </c>
      <c r="D56" s="19" t="n">
        <v>336</v>
      </c>
      <c r="E56" s="18" t="n">
        <v>6.41178614</v>
      </c>
      <c r="F56" s="20" t="n">
        <v>1.48489995</v>
      </c>
      <c r="G56" s="18" t="n">
        <v>92.69916649</v>
      </c>
      <c r="H56" s="20" t="n">
        <v>1.61536014</v>
      </c>
      <c r="I56" s="18" t="s">
        <v>349</v>
      </c>
      <c r="J56" s="20" t="s">
        <v>349</v>
      </c>
      <c r="K56" s="18" t="n">
        <v>0</v>
      </c>
      <c r="L56" s="20" t="n">
        <v>0</v>
      </c>
      <c r="M56" s="18" t="n">
        <v>0</v>
      </c>
      <c r="N56" s="20" t="n">
        <v>0</v>
      </c>
      <c r="O56" s="18" t="n">
        <v>0</v>
      </c>
      <c r="P56" s="20" t="n">
        <v>0</v>
      </c>
      <c r="Q56" s="18" t="n">
        <v>0.88904737</v>
      </c>
      <c r="R56" s="20" t="n">
        <v>0.6453884</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(2799.0/B61*100)</f>
        <v/>
      </c>
      <c r="D61" s="19" t="n">
        <v>402</v>
      </c>
      <c r="E61" s="18" t="n">
        <v>14.11805381</v>
      </c>
      <c r="F61" s="20" t="n">
        <v>1.96097581</v>
      </c>
      <c r="G61" s="18" t="n">
        <v>84.51365610000001</v>
      </c>
      <c r="H61" s="20" t="n">
        <v>2.057163</v>
      </c>
      <c r="I61" s="18" t="s">
        <v>349</v>
      </c>
      <c r="J61" s="20" t="s">
        <v>349</v>
      </c>
      <c r="K61" s="18" t="n">
        <v>0.72120351</v>
      </c>
      <c r="L61" s="20" t="n">
        <v>0.70637302</v>
      </c>
      <c r="M61" s="18" t="n">
        <v>0</v>
      </c>
      <c r="N61" s="20" t="n">
        <v>0</v>
      </c>
      <c r="O61" s="18" t="n">
        <v>0</v>
      </c>
      <c r="P61" s="20" t="n">
        <v>0</v>
      </c>
      <c r="Q61" s="18" t="n">
        <v>0.64708658</v>
      </c>
      <c r="R61" s="20" t="n">
        <v>0.44347049</v>
      </c>
    </row>
    <row r="62" spans="1:18">
      <c r="A62" s="15" t="s">
        <v>404</v>
      </c>
      <c r="B62" s="17" t="n">
        <v>2230</v>
      </c>
      <c r="C62" s="18">
        <f>(1973.0/B62*100)</f>
        <v/>
      </c>
      <c r="D62" s="19" t="n">
        <v>257</v>
      </c>
      <c r="E62" s="18" t="n">
        <v>7.42045115</v>
      </c>
      <c r="F62" s="20" t="n">
        <v>1.79800292</v>
      </c>
      <c r="G62" s="18" t="n">
        <v>91.744286</v>
      </c>
      <c r="H62" s="20" t="n">
        <v>1.8658737</v>
      </c>
      <c r="I62" s="18" t="s">
        <v>349</v>
      </c>
      <c r="J62" s="20" t="s">
        <v>349</v>
      </c>
      <c r="K62" s="18" t="n">
        <v>0</v>
      </c>
      <c r="L62" s="20" t="n">
        <v>0</v>
      </c>
      <c r="M62" s="18" t="n">
        <v>0</v>
      </c>
      <c r="N62" s="20" t="n">
        <v>0</v>
      </c>
      <c r="O62" s="18" t="n">
        <v>0</v>
      </c>
      <c r="P62" s="20" t="n">
        <v>0</v>
      </c>
      <c r="Q62" s="18" t="n">
        <v>0.83526285</v>
      </c>
      <c r="R62" s="20" t="n">
        <v>0.58950589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(2436.0/B66*100)</f>
        <v/>
      </c>
      <c r="D66" s="19" t="n">
        <v>335</v>
      </c>
      <c r="E66" s="18" t="n">
        <v>16.30264192</v>
      </c>
      <c r="F66" s="20" t="n">
        <v>1.74662483</v>
      </c>
      <c r="G66" s="18" t="n">
        <v>77.8112915</v>
      </c>
      <c r="H66" s="20" t="n">
        <v>2.10002784</v>
      </c>
      <c r="I66" s="18" t="s">
        <v>349</v>
      </c>
      <c r="J66" s="20" t="s">
        <v>349</v>
      </c>
      <c r="K66" s="18" t="n">
        <v>0.38347085</v>
      </c>
      <c r="L66" s="20" t="n">
        <v>0.38087302</v>
      </c>
      <c r="M66" s="18" t="n">
        <v>0</v>
      </c>
      <c r="N66" s="20" t="n">
        <v>0</v>
      </c>
      <c r="O66" s="18" t="n">
        <v>0</v>
      </c>
      <c r="P66" s="20" t="n">
        <v>0</v>
      </c>
      <c r="Q66" s="18" t="n">
        <v>5.50259574</v>
      </c>
      <c r="R66" s="20" t="n">
        <v>1.24573938</v>
      </c>
    </row>
    <row r="67" spans="1:18">
      <c r="A67" s="15" t="s">
        <v>409</v>
      </c>
      <c r="B67" s="17" t="n">
        <v>3460</v>
      </c>
      <c r="C67" s="18">
        <f>(3033.0/B67*100)</f>
        <v/>
      </c>
      <c r="D67" s="19" t="n">
        <v>427</v>
      </c>
      <c r="E67" s="18" t="n">
        <v>32.72526365</v>
      </c>
      <c r="F67" s="20" t="n">
        <v>2.31913947</v>
      </c>
      <c r="G67" s="18" t="n">
        <v>63.64289108</v>
      </c>
      <c r="H67" s="20" t="n">
        <v>2.43265173</v>
      </c>
      <c r="I67" s="18" t="s">
        <v>349</v>
      </c>
      <c r="J67" s="20" t="s">
        <v>349</v>
      </c>
      <c r="K67" s="18" t="n">
        <v>0</v>
      </c>
      <c r="L67" s="20" t="n">
        <v>0</v>
      </c>
      <c r="M67" s="18" t="n">
        <v>0</v>
      </c>
      <c r="N67" s="20" t="n">
        <v>0</v>
      </c>
      <c r="O67" s="18" t="n">
        <v>0</v>
      </c>
      <c r="P67" s="20" t="n">
        <v>0</v>
      </c>
      <c r="Q67" s="18" t="n">
        <v>3.63184527</v>
      </c>
      <c r="R67" s="20" t="n">
        <v>1.02908928</v>
      </c>
    </row>
    <row r="68" spans="1:18">
      <c r="A68" s="15" t="s">
        <v>410</v>
      </c>
      <c r="B68" s="17" t="n">
        <v>6034</v>
      </c>
      <c r="C68" s="18">
        <f>(5041.0/B68*100)</f>
        <v/>
      </c>
      <c r="D68" s="19" t="n">
        <v>993</v>
      </c>
      <c r="E68" s="18" t="n">
        <v>21.98340622</v>
      </c>
      <c r="F68" s="20" t="n">
        <v>1.22389017</v>
      </c>
      <c r="G68" s="18" t="n">
        <v>75.10830876</v>
      </c>
      <c r="H68" s="20" t="n">
        <v>1.18847187</v>
      </c>
      <c r="I68" s="18" t="s">
        <v>349</v>
      </c>
      <c r="J68" s="20" t="s">
        <v>349</v>
      </c>
      <c r="K68" s="18" t="n">
        <v>0.19226862</v>
      </c>
      <c r="L68" s="20" t="n">
        <v>0.13566708</v>
      </c>
      <c r="M68" s="18" t="n">
        <v>0</v>
      </c>
      <c r="N68" s="20" t="n">
        <v>0</v>
      </c>
      <c r="O68" s="18" t="n">
        <v>0</v>
      </c>
      <c r="P68" s="20" t="n">
        <v>0</v>
      </c>
      <c r="Q68" s="18" t="n">
        <v>2.7160164</v>
      </c>
      <c r="R68" s="20" t="n">
        <v>0.60528293</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(2748.0/B70*100)</f>
        <v/>
      </c>
      <c r="D70" s="19" t="n">
        <v>359</v>
      </c>
      <c r="E70" s="18" t="n">
        <v>7.86907088</v>
      </c>
      <c r="F70" s="20" t="n">
        <v>1.97636498</v>
      </c>
      <c r="G70" s="18" t="n">
        <v>90.5791693</v>
      </c>
      <c r="H70" s="20" t="n">
        <v>1.97734564</v>
      </c>
      <c r="I70" s="18" t="s">
        <v>349</v>
      </c>
      <c r="J70" s="20" t="s">
        <v>349</v>
      </c>
      <c r="K70" s="18" t="n">
        <v>0.2206822</v>
      </c>
      <c r="L70" s="20" t="n">
        <v>0.21816283</v>
      </c>
      <c r="M70" s="18" t="n">
        <v>0</v>
      </c>
      <c r="N70" s="20" t="n">
        <v>0</v>
      </c>
      <c r="O70" s="18" t="n">
        <v>0</v>
      </c>
      <c r="P70" s="20" t="n">
        <v>0</v>
      </c>
      <c r="Q70" s="18" t="n">
        <v>1.33107762</v>
      </c>
      <c r="R70" s="20" t="n">
        <v>0.50768645</v>
      </c>
    </row>
    <row r="71" spans="1:18">
      <c r="A71" s="15" t="s">
        <v>413</v>
      </c>
      <c r="B71" s="17" t="n">
        <v>2973</v>
      </c>
      <c r="C71" s="18">
        <f>(2594.0/B71*100)</f>
        <v/>
      </c>
      <c r="D71" s="19" t="n">
        <v>379</v>
      </c>
      <c r="E71" s="18" t="n">
        <v>5.36073418</v>
      </c>
      <c r="F71" s="20" t="n">
        <v>1.09841403</v>
      </c>
      <c r="G71" s="18" t="n">
        <v>94.07058988</v>
      </c>
      <c r="H71" s="20" t="n">
        <v>1.14450255</v>
      </c>
      <c r="I71" s="18" t="s">
        <v>349</v>
      </c>
      <c r="J71" s="20" t="s">
        <v>349</v>
      </c>
      <c r="K71" s="18" t="n">
        <v>0.30216956</v>
      </c>
      <c r="L71" s="20" t="n">
        <v>0.30056096</v>
      </c>
      <c r="M71" s="18" t="n">
        <v>0</v>
      </c>
      <c r="N71" s="20" t="n">
        <v>0</v>
      </c>
      <c r="O71" s="18" t="n">
        <v>0</v>
      </c>
      <c r="P71" s="20" t="n">
        <v>0</v>
      </c>
      <c r="Q71" s="18" t="n">
        <v>0.26650638</v>
      </c>
      <c r="R71" s="20" t="n">
        <v>0.26660036</v>
      </c>
    </row>
    <row r="72" spans="1:18">
      <c r="A72" s="15" t="s">
        <v>414</v>
      </c>
      <c r="B72" s="17" t="n">
        <v>3819</v>
      </c>
      <c r="C72" s="18">
        <f>(3329.0/B72*100)</f>
        <v/>
      </c>
      <c r="D72" s="19" t="n">
        <v>490</v>
      </c>
      <c r="E72" s="18" t="n">
        <v>6.31260224</v>
      </c>
      <c r="F72" s="20" t="n">
        <v>1.09521622</v>
      </c>
      <c r="G72" s="18" t="n">
        <v>92.25035819</v>
      </c>
      <c r="H72" s="20" t="n">
        <v>1.06885336</v>
      </c>
      <c r="I72" s="18" t="s">
        <v>349</v>
      </c>
      <c r="J72" s="20" t="s">
        <v>349</v>
      </c>
      <c r="K72" s="18" t="n">
        <v>0.22178018</v>
      </c>
      <c r="L72" s="20" t="n">
        <v>0.22147429</v>
      </c>
      <c r="M72" s="18" t="n">
        <v>0</v>
      </c>
      <c r="N72" s="20" t="n">
        <v>0</v>
      </c>
      <c r="O72" s="18" t="n">
        <v>0</v>
      </c>
      <c r="P72" s="20" t="n">
        <v>0</v>
      </c>
      <c r="Q72" s="18" t="n">
        <v>1.2152594</v>
      </c>
      <c r="R72" s="20" t="n">
        <v>0.51612693</v>
      </c>
    </row>
    <row r="73" spans="1:18">
      <c r="A73" s="15" t="s">
        <v>415</v>
      </c>
      <c r="B73" s="17" t="n">
        <v>4652</v>
      </c>
      <c r="C73" s="18">
        <f>(4084.0/B73*100)</f>
        <v/>
      </c>
      <c r="D73" s="19" t="n">
        <v>568</v>
      </c>
      <c r="E73" s="18" t="n">
        <v>31.1036792</v>
      </c>
      <c r="F73" s="20" t="n">
        <v>2.50376499</v>
      </c>
      <c r="G73" s="18" t="n">
        <v>67.85431445</v>
      </c>
      <c r="H73" s="20" t="n">
        <v>2.59322153</v>
      </c>
      <c r="I73" s="18" t="s">
        <v>349</v>
      </c>
      <c r="J73" s="20" t="s">
        <v>349</v>
      </c>
      <c r="K73" s="18" t="n">
        <v>0</v>
      </c>
      <c r="L73" s="20" t="n">
        <v>0</v>
      </c>
      <c r="M73" s="18" t="n">
        <v>0</v>
      </c>
      <c r="N73" s="20" t="n">
        <v>0</v>
      </c>
      <c r="O73" s="18" t="n">
        <v>0</v>
      </c>
      <c r="P73" s="20" t="n">
        <v>0</v>
      </c>
      <c r="Q73" s="18" t="n">
        <v>1.04200635</v>
      </c>
      <c r="R73" s="20" t="n">
        <v>0.55537561</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(2613.0/B75*100)</f>
        <v/>
      </c>
      <c r="D75" s="19" t="n">
        <v>356</v>
      </c>
      <c r="E75" s="18" t="n">
        <v>35.12673389</v>
      </c>
      <c r="F75" s="20" t="n">
        <v>3.13535944</v>
      </c>
      <c r="G75" s="18" t="n">
        <v>54.08590361</v>
      </c>
      <c r="H75" s="20" t="n">
        <v>3.14872808</v>
      </c>
      <c r="I75" s="18" t="s">
        <v>349</v>
      </c>
      <c r="J75" s="20" t="s">
        <v>349</v>
      </c>
      <c r="K75" s="18" t="n">
        <v>1.44159529</v>
      </c>
      <c r="L75" s="20" t="n">
        <v>0.61429402</v>
      </c>
      <c r="M75" s="18" t="n">
        <v>0</v>
      </c>
      <c r="N75" s="20" t="n">
        <v>0</v>
      </c>
      <c r="O75" s="18" t="n">
        <v>0</v>
      </c>
      <c r="P75" s="20" t="n">
        <v>0</v>
      </c>
      <c r="Q75" s="18" t="n">
        <v>9.34576721</v>
      </c>
      <c r="R75" s="20" t="n">
        <v>1.44527825</v>
      </c>
    </row>
    <row r="76" spans="1:18">
      <c r="A76" s="15" t="s">
        <v>418</v>
      </c>
      <c r="B76" s="17" t="n">
        <v>7115</v>
      </c>
      <c r="C76" s="18">
        <f>(6228.0/B76*100)</f>
        <v/>
      </c>
      <c r="D76" s="19" t="n">
        <v>887</v>
      </c>
      <c r="E76" s="18" t="n">
        <v>23.81974018</v>
      </c>
      <c r="F76" s="20" t="n">
        <v>2.06498728</v>
      </c>
      <c r="G76" s="18" t="n">
        <v>75.36887823000001</v>
      </c>
      <c r="H76" s="20" t="n">
        <v>2.07976971</v>
      </c>
      <c r="I76" s="18" t="s">
        <v>349</v>
      </c>
      <c r="J76" s="20" t="s">
        <v>349</v>
      </c>
      <c r="K76" s="18" t="n">
        <v>0</v>
      </c>
      <c r="L76" s="20" t="n">
        <v>0</v>
      </c>
      <c r="M76" s="18" t="n">
        <v>0</v>
      </c>
      <c r="N76" s="20" t="n">
        <v>0</v>
      </c>
      <c r="O76" s="18" t="n">
        <v>0</v>
      </c>
      <c r="P76" s="20" t="n">
        <v>0</v>
      </c>
      <c r="Q76" s="18" t="n">
        <v>0.81138159</v>
      </c>
      <c r="R76" s="20" t="n">
        <v>0.31442819</v>
      </c>
    </row>
    <row r="77" spans="1:18">
      <c r="A77" s="15" t="s">
        <v>419</v>
      </c>
      <c r="B77" s="17" t="n">
        <v>3154</v>
      </c>
      <c r="C77" s="18">
        <f>(2761.0/B77*100)</f>
        <v/>
      </c>
      <c r="D77" s="19" t="n">
        <v>393</v>
      </c>
      <c r="E77" s="18" t="n">
        <v>17.96702914</v>
      </c>
      <c r="F77" s="20" t="n">
        <v>1.72755634</v>
      </c>
      <c r="G77" s="18" t="n">
        <v>77.54840972</v>
      </c>
      <c r="H77" s="20" t="n">
        <v>1.83324077</v>
      </c>
      <c r="I77" s="18" t="s">
        <v>349</v>
      </c>
      <c r="J77" s="20" t="s">
        <v>349</v>
      </c>
      <c r="K77" s="18" t="n">
        <v>0</v>
      </c>
      <c r="L77" s="20" t="n">
        <v>0</v>
      </c>
      <c r="M77" s="18" t="n">
        <v>0</v>
      </c>
      <c r="N77" s="20" t="n">
        <v>0</v>
      </c>
      <c r="O77" s="18" t="n">
        <v>0</v>
      </c>
      <c r="P77" s="20" t="n">
        <v>0</v>
      </c>
      <c r="Q77" s="18" t="n">
        <v>4.48456114</v>
      </c>
      <c r="R77" s="20" t="n">
        <v>1.03437482</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(4101.0/B81*100)</f>
        <v/>
      </c>
      <c r="D81" s="19" t="n">
        <v>597</v>
      </c>
      <c r="E81" s="18" t="n">
        <v>12.51567299</v>
      </c>
      <c r="F81" s="20" t="n">
        <v>1.55899633</v>
      </c>
      <c r="G81" s="18" t="n">
        <v>86.22628616999999</v>
      </c>
      <c r="H81" s="20" t="n">
        <v>1.67416295</v>
      </c>
      <c r="I81" s="18" t="s">
        <v>349</v>
      </c>
      <c r="J81" s="20" t="s">
        <v>349</v>
      </c>
      <c r="K81" s="18" t="n">
        <v>0</v>
      </c>
      <c r="L81" s="20" t="n">
        <v>0</v>
      </c>
      <c r="M81" s="18" t="n">
        <v>0</v>
      </c>
      <c r="N81" s="20" t="n">
        <v>0</v>
      </c>
      <c r="O81" s="18" t="n">
        <v>0</v>
      </c>
      <c r="P81" s="20" t="n">
        <v>0</v>
      </c>
      <c r="Q81" s="18" t="n">
        <v>1.25804085</v>
      </c>
      <c r="R81" s="20" t="n">
        <v>0.65129385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(6277.0/B7*100)</f>
        <v/>
      </c>
      <c r="D7" s="19" t="n">
        <v>886</v>
      </c>
      <c r="E7" s="18" t="n">
        <v>34.76919235</v>
      </c>
      <c r="F7" s="20" t="n">
        <v>1.89180239</v>
      </c>
      <c r="G7" s="18" t="n">
        <v>64.26838136000001</v>
      </c>
      <c r="H7" s="20" t="n">
        <v>1.86171195</v>
      </c>
      <c r="I7" s="18" t="s">
        <v>349</v>
      </c>
      <c r="J7" s="20" t="s">
        <v>349</v>
      </c>
      <c r="K7" s="18" t="n">
        <v>0</v>
      </c>
      <c r="L7" s="20" t="n">
        <v>0</v>
      </c>
      <c r="M7" s="18" t="n">
        <v>0</v>
      </c>
      <c r="N7" s="20" t="n">
        <v>0</v>
      </c>
      <c r="O7" s="18" t="n">
        <v>0</v>
      </c>
      <c r="P7" s="20" t="n">
        <v>0</v>
      </c>
      <c r="Q7" s="18" t="n">
        <v>0.96242629</v>
      </c>
      <c r="R7" s="20" t="n">
        <v>0.36799016</v>
      </c>
    </row>
    <row r="8" spans="1:18">
      <c r="A8" s="15" t="s">
        <v>350</v>
      </c>
      <c r="B8" s="17" t="n">
        <v>3443</v>
      </c>
      <c r="C8" s="18">
        <f>(3002.0/B8*100)</f>
        <v/>
      </c>
      <c r="D8" s="19" t="n">
        <v>441</v>
      </c>
      <c r="E8" s="18" t="n">
        <v>37.34249549</v>
      </c>
      <c r="F8" s="20" t="n">
        <v>3.12071043</v>
      </c>
      <c r="G8" s="18" t="n">
        <v>60.36035939</v>
      </c>
      <c r="H8" s="20" t="n">
        <v>3.04985395</v>
      </c>
      <c r="I8" s="18" t="s">
        <v>349</v>
      </c>
      <c r="J8" s="20" t="s">
        <v>349</v>
      </c>
      <c r="K8" s="18" t="n">
        <v>0.08128716</v>
      </c>
      <c r="L8" s="20" t="n">
        <v>0.08120860000000001</v>
      </c>
      <c r="M8" s="18" t="n">
        <v>0</v>
      </c>
      <c r="N8" s="20" t="n">
        <v>0</v>
      </c>
      <c r="O8" s="18" t="n">
        <v>0</v>
      </c>
      <c r="P8" s="20" t="n">
        <v>0</v>
      </c>
      <c r="Q8" s="18" t="n">
        <v>2.21585796</v>
      </c>
      <c r="R8" s="20" t="n">
        <v>0.69835102</v>
      </c>
    </row>
    <row r="9" spans="1:18">
      <c r="A9" s="15" t="s">
        <v>351</v>
      </c>
      <c r="B9" s="17" t="n">
        <v>4752</v>
      </c>
      <c r="C9" s="18">
        <f>(4076.0/B9*100)</f>
        <v/>
      </c>
      <c r="D9" s="19" t="n">
        <v>676</v>
      </c>
      <c r="E9" s="18" t="n">
        <v>33.16438925</v>
      </c>
      <c r="F9" s="20" t="n">
        <v>2.09741951</v>
      </c>
      <c r="G9" s="18" t="n">
        <v>62.98657579</v>
      </c>
      <c r="H9" s="20" t="n">
        <v>2.32976758</v>
      </c>
      <c r="I9" s="18" t="s">
        <v>349</v>
      </c>
      <c r="J9" s="20" t="s">
        <v>349</v>
      </c>
      <c r="K9" s="18" t="n">
        <v>0.91582096</v>
      </c>
      <c r="L9" s="20" t="n">
        <v>0.38470692</v>
      </c>
      <c r="M9" s="18" t="n">
        <v>0</v>
      </c>
      <c r="N9" s="20" t="n">
        <v>0</v>
      </c>
      <c r="O9" s="18" t="n">
        <v>0</v>
      </c>
      <c r="P9" s="20" t="n">
        <v>0</v>
      </c>
      <c r="Q9" s="18" t="n">
        <v>2.933214</v>
      </c>
      <c r="R9" s="20" t="n">
        <v>0.6233168100000001</v>
      </c>
    </row>
    <row r="10" spans="1:18">
      <c r="A10" s="15" t="s">
        <v>352</v>
      </c>
      <c r="B10" s="17" t="n">
        <v>10022</v>
      </c>
      <c r="C10" s="18">
        <f>(8753.0/B10*100)</f>
        <v/>
      </c>
      <c r="D10" s="19" t="n">
        <v>1269</v>
      </c>
      <c r="E10" s="18" t="n">
        <v>36.26782218</v>
      </c>
      <c r="F10" s="20" t="n">
        <v>1.49078729</v>
      </c>
      <c r="G10" s="18" t="n">
        <v>62.84012491</v>
      </c>
      <c r="H10" s="20" t="n">
        <v>1.58169854</v>
      </c>
      <c r="I10" s="18" t="s">
        <v>349</v>
      </c>
      <c r="J10" s="20" t="s">
        <v>349</v>
      </c>
      <c r="K10" s="18" t="n">
        <v>0.02487942</v>
      </c>
      <c r="L10" s="20" t="n">
        <v>0.0209119</v>
      </c>
      <c r="M10" s="18" t="n">
        <v>0</v>
      </c>
      <c r="N10" s="20" t="n">
        <v>0</v>
      </c>
      <c r="O10" s="18" t="n">
        <v>0</v>
      </c>
      <c r="P10" s="20" t="n">
        <v>0</v>
      </c>
      <c r="Q10" s="18" t="n">
        <v>0.8671734800000001</v>
      </c>
      <c r="R10" s="20" t="n">
        <v>0.25753325</v>
      </c>
    </row>
    <row r="11" spans="1:18">
      <c r="A11" s="15" t="s">
        <v>353</v>
      </c>
      <c r="B11" s="17" t="n">
        <v>3500</v>
      </c>
      <c r="C11" s="18">
        <f>(3074.0/B11*100)</f>
        <v/>
      </c>
      <c r="D11" s="19" t="n">
        <v>426</v>
      </c>
      <c r="E11" s="18" t="n">
        <v>56.75337366</v>
      </c>
      <c r="F11" s="20" t="n">
        <v>2.75892124</v>
      </c>
      <c r="G11" s="18" t="n">
        <v>39.0136838</v>
      </c>
      <c r="H11" s="20" t="n">
        <v>2.74844567</v>
      </c>
      <c r="I11" s="18" t="s">
        <v>349</v>
      </c>
      <c r="J11" s="20" t="s">
        <v>349</v>
      </c>
      <c r="K11" s="18" t="n">
        <v>0.28145267</v>
      </c>
      <c r="L11" s="20" t="n">
        <v>0.27907336</v>
      </c>
      <c r="M11" s="18" t="n">
        <v>0</v>
      </c>
      <c r="N11" s="20" t="n">
        <v>0</v>
      </c>
      <c r="O11" s="18" t="n">
        <v>0</v>
      </c>
      <c r="P11" s="20" t="n">
        <v>0</v>
      </c>
      <c r="Q11" s="18" t="n">
        <v>3.95148987</v>
      </c>
      <c r="R11" s="20" t="n">
        <v>1.03041017</v>
      </c>
    </row>
    <row r="12" spans="1:18">
      <c r="A12" s="15" t="s">
        <v>354</v>
      </c>
      <c r="B12" s="17" t="n">
        <v>3422</v>
      </c>
      <c r="C12" s="18">
        <f>(2990.0/B12*100)</f>
        <v/>
      </c>
      <c r="D12" s="19" t="n">
        <v>432</v>
      </c>
      <c r="E12" s="18" t="n">
        <v>39.67807069</v>
      </c>
      <c r="F12" s="20" t="n">
        <v>2.95423</v>
      </c>
      <c r="G12" s="18" t="n">
        <v>58.39902643</v>
      </c>
      <c r="H12" s="20" t="n">
        <v>3.02684852</v>
      </c>
      <c r="I12" s="18" t="s">
        <v>349</v>
      </c>
      <c r="J12" s="20" t="s">
        <v>349</v>
      </c>
      <c r="K12" s="18" t="n">
        <v>0</v>
      </c>
      <c r="L12" s="20" t="n">
        <v>0</v>
      </c>
      <c r="M12" s="18" t="n">
        <v>0</v>
      </c>
      <c r="N12" s="20" t="n">
        <v>0</v>
      </c>
      <c r="O12" s="18" t="n">
        <v>0</v>
      </c>
      <c r="P12" s="20" t="n">
        <v>0</v>
      </c>
      <c r="Q12" s="18" t="n">
        <v>1.92290287</v>
      </c>
      <c r="R12" s="20" t="n">
        <v>0.87146793</v>
      </c>
    </row>
    <row r="13" spans="1:18">
      <c r="A13" s="15" t="s">
        <v>355</v>
      </c>
      <c r="B13" s="17" t="n">
        <v>3602</v>
      </c>
      <c r="C13" s="18">
        <f>(3020.0/B13*100)</f>
        <v/>
      </c>
      <c r="D13" s="19" t="n">
        <v>582</v>
      </c>
      <c r="E13" s="18" t="n">
        <v>35.3126912</v>
      </c>
      <c r="F13" s="20" t="n">
        <v>2.40217952</v>
      </c>
      <c r="G13" s="18" t="n">
        <v>60.73822737</v>
      </c>
      <c r="H13" s="20" t="n">
        <v>2.4226986</v>
      </c>
      <c r="I13" s="18" t="s">
        <v>349</v>
      </c>
      <c r="J13" s="20" t="s">
        <v>349</v>
      </c>
      <c r="K13" s="18" t="n">
        <v>0.79078377</v>
      </c>
      <c r="L13" s="20" t="n">
        <v>0.44011194</v>
      </c>
      <c r="M13" s="18" t="n">
        <v>0</v>
      </c>
      <c r="N13" s="20" t="n">
        <v>0</v>
      </c>
      <c r="O13" s="18" t="n">
        <v>0</v>
      </c>
      <c r="P13" s="20" t="n">
        <v>0</v>
      </c>
      <c r="Q13" s="18" t="n">
        <v>3.15829767</v>
      </c>
      <c r="R13" s="20" t="n">
        <v>0.91442207</v>
      </c>
    </row>
    <row r="14" spans="1:18">
      <c r="A14" s="15" t="s">
        <v>356</v>
      </c>
      <c r="B14" s="17" t="n">
        <v>2788</v>
      </c>
      <c r="C14" s="18">
        <f>(2455.0/B14*100)</f>
        <v/>
      </c>
      <c r="D14" s="19" t="n">
        <v>333</v>
      </c>
      <c r="E14" s="18" t="n">
        <v>37.50698298</v>
      </c>
      <c r="F14" s="20" t="n">
        <v>3.01431588</v>
      </c>
      <c r="G14" s="18" t="n">
        <v>61.66610296</v>
      </c>
      <c r="H14" s="20" t="n">
        <v>3.03343994</v>
      </c>
      <c r="I14" s="18" t="s">
        <v>349</v>
      </c>
      <c r="J14" s="20" t="s">
        <v>349</v>
      </c>
      <c r="K14" s="18" t="n">
        <v>0</v>
      </c>
      <c r="L14" s="20" t="n">
        <v>0</v>
      </c>
      <c r="M14" s="18" t="n">
        <v>0</v>
      </c>
      <c r="N14" s="20" t="n">
        <v>0</v>
      </c>
      <c r="O14" s="18" t="n">
        <v>0</v>
      </c>
      <c r="P14" s="20" t="n">
        <v>0</v>
      </c>
      <c r="Q14" s="18" t="n">
        <v>0.82691406</v>
      </c>
      <c r="R14" s="20" t="n">
        <v>0.48977949</v>
      </c>
    </row>
    <row r="15" spans="1:18">
      <c r="A15" s="15" t="s">
        <v>357</v>
      </c>
      <c r="B15" s="17" t="n">
        <v>2863</v>
      </c>
      <c r="C15" s="18">
        <f>(2504.0/B15*100)</f>
        <v/>
      </c>
      <c r="D15" s="19" t="n">
        <v>359</v>
      </c>
      <c r="E15" s="18" t="n">
        <v>36.32589836</v>
      </c>
      <c r="F15" s="20" t="n">
        <v>2.73355904</v>
      </c>
      <c r="G15" s="18" t="n">
        <v>60.26076932</v>
      </c>
      <c r="H15" s="20" t="n">
        <v>3.06954563</v>
      </c>
      <c r="I15" s="18" t="s">
        <v>349</v>
      </c>
      <c r="J15" s="20" t="s">
        <v>349</v>
      </c>
      <c r="K15" s="18" t="n">
        <v>0.86720337</v>
      </c>
      <c r="L15" s="20" t="n">
        <v>0.67304599</v>
      </c>
      <c r="M15" s="18" t="n">
        <v>0</v>
      </c>
      <c r="N15" s="20" t="n">
        <v>0</v>
      </c>
      <c r="O15" s="18" t="n">
        <v>0</v>
      </c>
      <c r="P15" s="20" t="n">
        <v>0</v>
      </c>
      <c r="Q15" s="18" t="n">
        <v>2.54612896</v>
      </c>
      <c r="R15" s="20" t="n">
        <v>0.84286279</v>
      </c>
    </row>
    <row r="16" spans="1:18">
      <c r="A16" s="15" t="s">
        <v>358</v>
      </c>
      <c r="B16" s="17" t="n">
        <v>3111</v>
      </c>
      <c r="C16" s="18">
        <f>(2738.0/B16*100)</f>
        <v/>
      </c>
      <c r="D16" s="19" t="n">
        <v>373</v>
      </c>
      <c r="E16" s="18" t="n">
        <v>32.09748494</v>
      </c>
      <c r="F16" s="20" t="n">
        <v>2.81033445</v>
      </c>
      <c r="G16" s="18" t="n">
        <v>65.49376472</v>
      </c>
      <c r="H16" s="20" t="n">
        <v>2.8626045</v>
      </c>
      <c r="I16" s="18" t="s">
        <v>349</v>
      </c>
      <c r="J16" s="20" t="s">
        <v>349</v>
      </c>
      <c r="K16" s="18" t="n">
        <v>0</v>
      </c>
      <c r="L16" s="20" t="n">
        <v>0</v>
      </c>
      <c r="M16" s="18" t="n">
        <v>0</v>
      </c>
      <c r="N16" s="20" t="n">
        <v>0</v>
      </c>
      <c r="O16" s="18" t="n">
        <v>0</v>
      </c>
      <c r="P16" s="20" t="n">
        <v>0</v>
      </c>
      <c r="Q16" s="18" t="n">
        <v>2.40875034</v>
      </c>
      <c r="R16" s="20" t="n">
        <v>0.84929482</v>
      </c>
    </row>
    <row r="17" spans="1:18">
      <c r="A17" s="15" t="s">
        <v>359</v>
      </c>
      <c r="B17" s="17" t="n">
        <v>3197</v>
      </c>
      <c r="C17" s="18">
        <f>(2765.0/B17*100)</f>
        <v/>
      </c>
      <c r="D17" s="19" t="n">
        <v>432</v>
      </c>
      <c r="E17" s="18" t="n">
        <v>34.34959323</v>
      </c>
      <c r="F17" s="20" t="n">
        <v>2.81704581</v>
      </c>
      <c r="G17" s="18" t="n">
        <v>62.19199215</v>
      </c>
      <c r="H17" s="20" t="n">
        <v>2.51052458</v>
      </c>
      <c r="I17" s="18" t="s">
        <v>349</v>
      </c>
      <c r="J17" s="20" t="s">
        <v>349</v>
      </c>
      <c r="K17" s="18" t="n">
        <v>1.10899597</v>
      </c>
      <c r="L17" s="20" t="n">
        <v>0.52081082</v>
      </c>
      <c r="M17" s="18" t="n">
        <v>0</v>
      </c>
      <c r="N17" s="20" t="n">
        <v>0</v>
      </c>
      <c r="O17" s="18" t="n">
        <v>0</v>
      </c>
      <c r="P17" s="20" t="n">
        <v>0</v>
      </c>
      <c r="Q17" s="18" t="n">
        <v>2.34941865</v>
      </c>
      <c r="R17" s="20" t="n">
        <v>0.64000639</v>
      </c>
    </row>
    <row r="18" spans="1:18">
      <c r="A18" s="15" t="s">
        <v>360</v>
      </c>
      <c r="B18" s="17" t="n">
        <v>2706</v>
      </c>
      <c r="C18" s="18">
        <f>(2382.0/B18*100)</f>
        <v/>
      </c>
      <c r="D18" s="19" t="n">
        <v>324</v>
      </c>
      <c r="E18" s="18" t="n">
        <v>51.58618524</v>
      </c>
      <c r="F18" s="20" t="n">
        <v>3.26886497</v>
      </c>
      <c r="G18" s="18" t="n">
        <v>44.65653029</v>
      </c>
      <c r="H18" s="20" t="n">
        <v>3.26301165</v>
      </c>
      <c r="I18" s="18" t="s">
        <v>349</v>
      </c>
      <c r="J18" s="20" t="s">
        <v>349</v>
      </c>
      <c r="K18" s="18" t="n">
        <v>0</v>
      </c>
      <c r="L18" s="20" t="n">
        <v>0</v>
      </c>
      <c r="M18" s="18" t="n">
        <v>0</v>
      </c>
      <c r="N18" s="20" t="n">
        <v>0</v>
      </c>
      <c r="O18" s="18" t="n">
        <v>0</v>
      </c>
      <c r="P18" s="20" t="n">
        <v>0</v>
      </c>
      <c r="Q18" s="18" t="n">
        <v>3.75728447</v>
      </c>
      <c r="R18" s="20" t="n">
        <v>1.22326225</v>
      </c>
    </row>
    <row r="19" spans="1:18">
      <c r="A19" s="15" t="s">
        <v>361</v>
      </c>
      <c r="B19" s="17" t="n">
        <v>2850</v>
      </c>
      <c r="C19" s="18">
        <f>(2524.0/B19*100)</f>
        <v/>
      </c>
      <c r="D19" s="19" t="n">
        <v>326</v>
      </c>
      <c r="E19" s="18" t="n">
        <v>53.63485126</v>
      </c>
      <c r="F19" s="20" t="n">
        <v>2.98544581</v>
      </c>
      <c r="G19" s="18" t="n">
        <v>44.91805038</v>
      </c>
      <c r="H19" s="20" t="n">
        <v>2.87105316</v>
      </c>
      <c r="I19" s="18" t="s">
        <v>349</v>
      </c>
      <c r="J19" s="20" t="s">
        <v>349</v>
      </c>
      <c r="K19" s="18" t="n">
        <v>0</v>
      </c>
      <c r="L19" s="20" t="n">
        <v>0</v>
      </c>
      <c r="M19" s="18" t="n">
        <v>0</v>
      </c>
      <c r="N19" s="20" t="n">
        <v>0</v>
      </c>
      <c r="O19" s="18" t="n">
        <v>0</v>
      </c>
      <c r="P19" s="20" t="n">
        <v>0</v>
      </c>
      <c r="Q19" s="18" t="n">
        <v>1.44709835</v>
      </c>
      <c r="R19" s="20" t="n">
        <v>0.64614472</v>
      </c>
    </row>
    <row r="20" spans="1:18">
      <c r="A20" s="15" t="s">
        <v>362</v>
      </c>
      <c r="B20" s="17" t="n">
        <v>1741</v>
      </c>
      <c r="C20" s="18">
        <f>(1528.0/B20*100)</f>
        <v/>
      </c>
      <c r="D20" s="19" t="n">
        <v>213</v>
      </c>
      <c r="E20" s="18" t="n">
        <v>41.1606896</v>
      </c>
      <c r="F20" s="20" t="n">
        <v>3.04703242</v>
      </c>
      <c r="G20" s="18" t="n">
        <v>57.52490161</v>
      </c>
      <c r="H20" s="20" t="n">
        <v>3.099021</v>
      </c>
      <c r="I20" s="18" t="s">
        <v>349</v>
      </c>
      <c r="J20" s="20" t="s">
        <v>349</v>
      </c>
      <c r="K20" s="18" t="n">
        <v>0</v>
      </c>
      <c r="L20" s="20" t="n">
        <v>0</v>
      </c>
      <c r="M20" s="18" t="n">
        <v>0</v>
      </c>
      <c r="N20" s="20" t="n">
        <v>0</v>
      </c>
      <c r="O20" s="18" t="n">
        <v>0</v>
      </c>
      <c r="P20" s="20" t="n">
        <v>0</v>
      </c>
      <c r="Q20" s="18" t="n">
        <v>1.31440878</v>
      </c>
      <c r="R20" s="20" t="n">
        <v>0.76691033</v>
      </c>
    </row>
    <row r="21" spans="1:18">
      <c r="A21" s="15" t="s">
        <v>363</v>
      </c>
      <c r="B21" s="17" t="n">
        <v>2833</v>
      </c>
      <c r="C21" s="18">
        <f>(2376.0/B21*100)</f>
        <v/>
      </c>
      <c r="D21" s="19" t="n">
        <v>457</v>
      </c>
      <c r="E21" s="18" t="n">
        <v>47.10880679</v>
      </c>
      <c r="F21" s="20" t="n">
        <v>2.2693596</v>
      </c>
      <c r="G21" s="18" t="n">
        <v>51.88831286</v>
      </c>
      <c r="H21" s="20" t="n">
        <v>2.24551198</v>
      </c>
      <c r="I21" s="18" t="s">
        <v>349</v>
      </c>
      <c r="J21" s="20" t="s">
        <v>349</v>
      </c>
      <c r="K21" s="18" t="n">
        <v>0</v>
      </c>
      <c r="L21" s="20" t="n">
        <v>0</v>
      </c>
      <c r="M21" s="18" t="n">
        <v>0</v>
      </c>
      <c r="N21" s="20" t="n">
        <v>0</v>
      </c>
      <c r="O21" s="18" t="n">
        <v>0</v>
      </c>
      <c r="P21" s="20" t="n">
        <v>0</v>
      </c>
      <c r="Q21" s="18" t="n">
        <v>1.00288035</v>
      </c>
      <c r="R21" s="20" t="n">
        <v>0.44991408</v>
      </c>
    </row>
    <row r="22" spans="1:18">
      <c r="A22" s="15" t="s">
        <v>364</v>
      </c>
      <c r="B22" s="17" t="n">
        <v>3667</v>
      </c>
      <c r="C22" s="18">
        <f>(3186.0/B22*100)</f>
        <v/>
      </c>
      <c r="D22" s="19" t="n">
        <v>481</v>
      </c>
      <c r="E22" s="18" t="n">
        <v>39.09555707</v>
      </c>
      <c r="F22" s="20" t="n">
        <v>2.44552049</v>
      </c>
      <c r="G22" s="18" t="n">
        <v>57.9656476</v>
      </c>
      <c r="H22" s="20" t="n">
        <v>2.3616019</v>
      </c>
      <c r="I22" s="18" t="s">
        <v>349</v>
      </c>
      <c r="J22" s="20" t="s">
        <v>349</v>
      </c>
      <c r="K22" s="18" t="n">
        <v>0.27996656</v>
      </c>
      <c r="L22" s="20" t="n">
        <v>0.27779968</v>
      </c>
      <c r="M22" s="18" t="n">
        <v>0</v>
      </c>
      <c r="N22" s="20" t="n">
        <v>0</v>
      </c>
      <c r="O22" s="18" t="n">
        <v>0</v>
      </c>
      <c r="P22" s="20" t="n">
        <v>0</v>
      </c>
      <c r="Q22" s="18" t="n">
        <v>2.65882877</v>
      </c>
      <c r="R22" s="20" t="n">
        <v>0.86239322</v>
      </c>
    </row>
    <row r="23" spans="1:18">
      <c r="A23" s="15" t="s">
        <v>365</v>
      </c>
      <c r="B23" s="17" t="n">
        <v>5792</v>
      </c>
      <c r="C23" s="18">
        <f>(5049.0/B23*100)</f>
        <v/>
      </c>
      <c r="D23" s="19" t="n">
        <v>743</v>
      </c>
      <c r="E23" s="18" t="n">
        <v>37.95330426</v>
      </c>
      <c r="F23" s="20" t="n">
        <v>2.65574565</v>
      </c>
      <c r="G23" s="18" t="n">
        <v>59.20521646</v>
      </c>
      <c r="H23" s="20" t="n">
        <v>2.86444194</v>
      </c>
      <c r="I23" s="18" t="s">
        <v>349</v>
      </c>
      <c r="J23" s="20" t="s">
        <v>349</v>
      </c>
      <c r="K23" s="18" t="n">
        <v>0</v>
      </c>
      <c r="L23" s="20" t="n">
        <v>0</v>
      </c>
      <c r="M23" s="18" t="n">
        <v>0</v>
      </c>
      <c r="N23" s="20" t="n">
        <v>0</v>
      </c>
      <c r="O23" s="18" t="n">
        <v>0</v>
      </c>
      <c r="P23" s="20" t="n">
        <v>0</v>
      </c>
      <c r="Q23" s="18" t="n">
        <v>2.84147928</v>
      </c>
      <c r="R23" s="20" t="n">
        <v>1.1628008</v>
      </c>
    </row>
    <row r="24" spans="1:18">
      <c r="A24" s="15" t="s">
        <v>366</v>
      </c>
      <c r="B24" s="17" t="n">
        <v>3309</v>
      </c>
      <c r="C24" s="18">
        <f>(2903.0/B24*100)</f>
        <v/>
      </c>
      <c r="D24" s="19" t="n">
        <v>406</v>
      </c>
      <c r="E24" s="18" t="n">
        <v>38.26166268</v>
      </c>
      <c r="F24" s="20" t="n">
        <v>2.14701322</v>
      </c>
      <c r="G24" s="18" t="n">
        <v>59.67935773</v>
      </c>
      <c r="H24" s="20" t="n">
        <v>2.25008062</v>
      </c>
      <c r="I24" s="18" t="s">
        <v>349</v>
      </c>
      <c r="J24" s="20" t="s">
        <v>349</v>
      </c>
      <c r="K24" s="18" t="n">
        <v>0</v>
      </c>
      <c r="L24" s="20" t="n">
        <v>0</v>
      </c>
      <c r="M24" s="18" t="n">
        <v>0</v>
      </c>
      <c r="N24" s="20" t="n">
        <v>0</v>
      </c>
      <c r="O24" s="18" t="n">
        <v>0</v>
      </c>
      <c r="P24" s="20" t="n">
        <v>0</v>
      </c>
      <c r="Q24" s="18" t="n">
        <v>2.05897959</v>
      </c>
      <c r="R24" s="20" t="n">
        <v>0.7259461</v>
      </c>
    </row>
    <row r="25" spans="1:18">
      <c r="A25" s="15" t="s">
        <v>367</v>
      </c>
      <c r="B25" s="17" t="n">
        <v>2669</v>
      </c>
      <c r="C25" s="18">
        <f>(2343.0/B25*100)</f>
        <v/>
      </c>
      <c r="D25" s="19" t="n">
        <v>326</v>
      </c>
      <c r="E25" s="18" t="n">
        <v>39.11634639</v>
      </c>
      <c r="F25" s="20" t="n">
        <v>2.5158766</v>
      </c>
      <c r="G25" s="18" t="n">
        <v>58.97736129</v>
      </c>
      <c r="H25" s="20" t="n">
        <v>2.43933169</v>
      </c>
      <c r="I25" s="18" t="s">
        <v>349</v>
      </c>
      <c r="J25" s="20" t="s">
        <v>349</v>
      </c>
      <c r="K25" s="18" t="n">
        <v>0.58672406</v>
      </c>
      <c r="L25" s="20" t="n">
        <v>0.49847186</v>
      </c>
      <c r="M25" s="18" t="n">
        <v>0</v>
      </c>
      <c r="N25" s="20" t="n">
        <v>0</v>
      </c>
      <c r="O25" s="18" t="n">
        <v>0</v>
      </c>
      <c r="P25" s="20" t="n">
        <v>0</v>
      </c>
      <c r="Q25" s="18" t="n">
        <v>1.31956826</v>
      </c>
      <c r="R25" s="20" t="n">
        <v>0.61357641</v>
      </c>
    </row>
    <row r="26" spans="1:18">
      <c r="A26" s="15" t="s">
        <v>368</v>
      </c>
      <c r="B26" s="17" t="n">
        <v>2419</v>
      </c>
      <c r="C26" s="18">
        <f>(2130.0/B26*100)</f>
        <v/>
      </c>
      <c r="D26" s="19" t="n">
        <v>289</v>
      </c>
      <c r="E26" s="18" t="n">
        <v>39.21194656</v>
      </c>
      <c r="F26" s="20" t="n">
        <v>2.59897488</v>
      </c>
      <c r="G26" s="18" t="n">
        <v>59.6486125</v>
      </c>
      <c r="H26" s="20" t="n">
        <v>2.68356355</v>
      </c>
      <c r="I26" s="18" t="s">
        <v>349</v>
      </c>
      <c r="J26" s="20" t="s">
        <v>349</v>
      </c>
      <c r="K26" s="18" t="n">
        <v>0.25971371</v>
      </c>
      <c r="L26" s="20" t="n">
        <v>0.26308117</v>
      </c>
      <c r="M26" s="18" t="n">
        <v>0</v>
      </c>
      <c r="N26" s="20" t="n">
        <v>0</v>
      </c>
      <c r="O26" s="18" t="n">
        <v>0</v>
      </c>
      <c r="P26" s="20" t="n">
        <v>0</v>
      </c>
      <c r="Q26" s="18" t="n">
        <v>0.87972722</v>
      </c>
      <c r="R26" s="20" t="n">
        <v>0.67593022</v>
      </c>
    </row>
    <row r="27" spans="1:18">
      <c r="A27" s="15" t="s">
        <v>369</v>
      </c>
      <c r="B27" s="17" t="n">
        <v>2683</v>
      </c>
      <c r="C27" s="18">
        <f>(2345.0/B27*100)</f>
        <v/>
      </c>
      <c r="D27" s="19" t="n">
        <v>338</v>
      </c>
      <c r="E27" s="18" t="n">
        <v>44.13836248</v>
      </c>
      <c r="F27" s="20" t="n">
        <v>2.68282401</v>
      </c>
      <c r="G27" s="18" t="n">
        <v>54.11151641</v>
      </c>
      <c r="H27" s="20" t="n">
        <v>2.66703614</v>
      </c>
      <c r="I27" s="18" t="s">
        <v>349</v>
      </c>
      <c r="J27" s="20" t="s">
        <v>349</v>
      </c>
      <c r="K27" s="18" t="n">
        <v>0</v>
      </c>
      <c r="L27" s="20" t="n">
        <v>0</v>
      </c>
      <c r="M27" s="18" t="n">
        <v>0</v>
      </c>
      <c r="N27" s="20" t="n">
        <v>0</v>
      </c>
      <c r="O27" s="18" t="n">
        <v>0</v>
      </c>
      <c r="P27" s="20" t="n">
        <v>0</v>
      </c>
      <c r="Q27" s="18" t="n">
        <v>1.75012112</v>
      </c>
      <c r="R27" s="20" t="n">
        <v>0.71094357</v>
      </c>
    </row>
    <row r="28" spans="1:18">
      <c r="A28" s="15" t="s">
        <v>370</v>
      </c>
      <c r="B28" s="17" t="n">
        <v>3803</v>
      </c>
      <c r="C28" s="18">
        <f>(3340.0/B28*100)</f>
        <v/>
      </c>
      <c r="D28" s="19" t="n">
        <v>463</v>
      </c>
      <c r="E28" s="18" t="n">
        <v>66.52100747999999</v>
      </c>
      <c r="F28" s="20" t="n">
        <v>2.26061893</v>
      </c>
      <c r="G28" s="18" t="n">
        <v>31.47516999</v>
      </c>
      <c r="H28" s="20" t="n">
        <v>2.36248847</v>
      </c>
      <c r="I28" s="18" t="s">
        <v>349</v>
      </c>
      <c r="J28" s="20" t="s">
        <v>349</v>
      </c>
      <c r="K28" s="18" t="n">
        <v>0</v>
      </c>
      <c r="L28" s="20" t="n">
        <v>0</v>
      </c>
      <c r="M28" s="18" t="n">
        <v>0</v>
      </c>
      <c r="N28" s="20" t="n">
        <v>0</v>
      </c>
      <c r="O28" s="18" t="n">
        <v>0</v>
      </c>
      <c r="P28" s="20" t="n">
        <v>0</v>
      </c>
      <c r="Q28" s="18" t="n">
        <v>2.00382254</v>
      </c>
      <c r="R28" s="20" t="n">
        <v>0.78176039</v>
      </c>
    </row>
    <row r="29" spans="1:18">
      <c r="A29" s="15" t="s">
        <v>371</v>
      </c>
      <c r="B29" s="17" t="n">
        <v>2700</v>
      </c>
      <c r="C29" s="18">
        <f>(2322.0/B29*100)</f>
        <v/>
      </c>
      <c r="D29" s="19" t="n">
        <v>378</v>
      </c>
      <c r="E29" s="18" t="n">
        <v>31.80564317</v>
      </c>
      <c r="F29" s="20" t="n">
        <v>2.33962509</v>
      </c>
      <c r="G29" s="18" t="n">
        <v>66.48110798</v>
      </c>
      <c r="H29" s="20" t="n">
        <v>2.45477128</v>
      </c>
      <c r="I29" s="18" t="s">
        <v>349</v>
      </c>
      <c r="J29" s="20" t="s">
        <v>349</v>
      </c>
      <c r="K29" s="18" t="n">
        <v>0.55427414</v>
      </c>
      <c r="L29" s="20" t="n">
        <v>0.54241038</v>
      </c>
      <c r="M29" s="18" t="n">
        <v>0</v>
      </c>
      <c r="N29" s="20" t="n">
        <v>0</v>
      </c>
      <c r="O29" s="18" t="n">
        <v>0</v>
      </c>
      <c r="P29" s="20" t="n">
        <v>0</v>
      </c>
      <c r="Q29" s="18" t="n">
        <v>1.15897471</v>
      </c>
      <c r="R29" s="20" t="n">
        <v>0.85465176</v>
      </c>
    </row>
    <row r="30" spans="1:18">
      <c r="A30" s="15" t="s">
        <v>372</v>
      </c>
      <c r="B30" s="17" t="n">
        <v>2257</v>
      </c>
      <c r="C30" s="18">
        <f>(1954.0/B30*100)</f>
        <v/>
      </c>
      <c r="D30" s="19" t="n">
        <v>303</v>
      </c>
      <c r="E30" s="18" t="n">
        <v>36.18651618</v>
      </c>
      <c r="F30" s="20" t="n">
        <v>2.26904679</v>
      </c>
      <c r="G30" s="18" t="n">
        <v>61.91885381</v>
      </c>
      <c r="H30" s="20" t="n">
        <v>2.38356541</v>
      </c>
      <c r="I30" s="18" t="s">
        <v>349</v>
      </c>
      <c r="J30" s="20" t="s">
        <v>349</v>
      </c>
      <c r="K30" s="18" t="n">
        <v>0.30180688</v>
      </c>
      <c r="L30" s="20" t="n">
        <v>0.3073833</v>
      </c>
      <c r="M30" s="18" t="n">
        <v>0</v>
      </c>
      <c r="N30" s="20" t="n">
        <v>0</v>
      </c>
      <c r="O30" s="18" t="n">
        <v>0</v>
      </c>
      <c r="P30" s="20" t="n">
        <v>0</v>
      </c>
      <c r="Q30" s="18" t="n">
        <v>1.59282313</v>
      </c>
      <c r="R30" s="20" t="n">
        <v>0.71067233</v>
      </c>
    </row>
    <row r="31" spans="1:18">
      <c r="A31" s="15" t="s">
        <v>373</v>
      </c>
      <c r="B31" s="17" t="n">
        <v>2706</v>
      </c>
      <c r="C31" s="18">
        <f>(2387.0/B31*100)</f>
        <v/>
      </c>
      <c r="D31" s="19" t="n">
        <v>319</v>
      </c>
      <c r="E31" s="18" t="n">
        <v>40.70239421</v>
      </c>
      <c r="F31" s="20" t="n">
        <v>2.57672746</v>
      </c>
      <c r="G31" s="18" t="n">
        <v>57.33456788</v>
      </c>
      <c r="H31" s="20" t="n">
        <v>2.58146866</v>
      </c>
      <c r="I31" s="18" t="s">
        <v>349</v>
      </c>
      <c r="J31" s="20" t="s">
        <v>349</v>
      </c>
      <c r="K31" s="18" t="n">
        <v>0.65273473</v>
      </c>
      <c r="L31" s="20" t="n">
        <v>0.46294586</v>
      </c>
      <c r="M31" s="18" t="n">
        <v>0</v>
      </c>
      <c r="N31" s="20" t="n">
        <v>0</v>
      </c>
      <c r="O31" s="18" t="n">
        <v>0</v>
      </c>
      <c r="P31" s="20" t="n">
        <v>0</v>
      </c>
      <c r="Q31" s="18" t="n">
        <v>1.31030317</v>
      </c>
      <c r="R31" s="20" t="n">
        <v>0.6854463200000001</v>
      </c>
    </row>
    <row r="32" spans="1:18">
      <c r="A32" s="15" t="s">
        <v>374</v>
      </c>
      <c r="B32" s="17" t="n">
        <v>2209</v>
      </c>
      <c r="C32" s="18">
        <f>(1846.0/B32*100)</f>
        <v/>
      </c>
      <c r="D32" s="19" t="n">
        <v>363</v>
      </c>
      <c r="E32" s="18" t="n">
        <v>39.39534918</v>
      </c>
      <c r="F32" s="20" t="n">
        <v>2.78380217</v>
      </c>
      <c r="G32" s="18" t="n">
        <v>60.60465082</v>
      </c>
      <c r="H32" s="20" t="n">
        <v>2.78380217</v>
      </c>
      <c r="I32" s="18" t="s">
        <v>349</v>
      </c>
      <c r="J32" s="20" t="s">
        <v>349</v>
      </c>
      <c r="K32" s="18" t="n">
        <v>0</v>
      </c>
      <c r="L32" s="20" t="n">
        <v>0</v>
      </c>
      <c r="M32" s="18" t="n">
        <v>0</v>
      </c>
      <c r="N32" s="20" t="n">
        <v>0</v>
      </c>
      <c r="O32" s="18" t="n">
        <v>0</v>
      </c>
      <c r="P32" s="20" t="n">
        <v>0</v>
      </c>
      <c r="Q32" s="18" t="n">
        <v>0</v>
      </c>
      <c r="R32" s="20" t="n">
        <v>0</v>
      </c>
    </row>
    <row r="33" spans="1:18">
      <c r="A33" s="15" t="s">
        <v>375</v>
      </c>
      <c r="B33" s="17" t="n">
        <v>3651</v>
      </c>
      <c r="C33" s="18">
        <f>(3215.0/B33*100)</f>
        <v/>
      </c>
      <c r="D33" s="19" t="n">
        <v>436</v>
      </c>
      <c r="E33" s="18" t="n">
        <v>49.22013274</v>
      </c>
      <c r="F33" s="20" t="n">
        <v>2.90051774</v>
      </c>
      <c r="G33" s="18" t="n">
        <v>49.09910556</v>
      </c>
      <c r="H33" s="20" t="n">
        <v>2.923379</v>
      </c>
      <c r="I33" s="18" t="s">
        <v>349</v>
      </c>
      <c r="J33" s="20" t="s">
        <v>349</v>
      </c>
      <c r="K33" s="18" t="n">
        <v>0.33549931</v>
      </c>
      <c r="L33" s="20" t="n">
        <v>0.34890133</v>
      </c>
      <c r="M33" s="18" t="n">
        <v>0</v>
      </c>
      <c r="N33" s="20" t="n">
        <v>0</v>
      </c>
      <c r="O33" s="18" t="n">
        <v>0</v>
      </c>
      <c r="P33" s="20" t="n">
        <v>0</v>
      </c>
      <c r="Q33" s="18" t="n">
        <v>1.34526239</v>
      </c>
      <c r="R33" s="20" t="n">
        <v>0.6726653</v>
      </c>
    </row>
    <row r="34" spans="1:18">
      <c r="A34" s="15" t="s">
        <v>376</v>
      </c>
      <c r="B34" s="17" t="n">
        <v>3035</v>
      </c>
      <c r="C34" s="18">
        <f>(2592.0/B34*100)</f>
        <v/>
      </c>
      <c r="D34" s="19" t="n">
        <v>443</v>
      </c>
      <c r="E34" s="18" t="n">
        <v>43.52434564</v>
      </c>
      <c r="F34" s="20" t="n">
        <v>2.20062138</v>
      </c>
      <c r="G34" s="18" t="n">
        <v>54.56371193</v>
      </c>
      <c r="H34" s="20" t="n">
        <v>2.0227095</v>
      </c>
      <c r="I34" s="18" t="s">
        <v>349</v>
      </c>
      <c r="J34" s="20" t="s">
        <v>349</v>
      </c>
      <c r="K34" s="18" t="n">
        <v>0.42721305</v>
      </c>
      <c r="L34" s="20" t="n">
        <v>0.31616046</v>
      </c>
      <c r="M34" s="18" t="n">
        <v>0</v>
      </c>
      <c r="N34" s="20" t="n">
        <v>0</v>
      </c>
      <c r="O34" s="18" t="n">
        <v>0</v>
      </c>
      <c r="P34" s="20" t="n">
        <v>0</v>
      </c>
      <c r="Q34" s="18" t="n">
        <v>1.48472937</v>
      </c>
      <c r="R34" s="20" t="n">
        <v>0.81463297</v>
      </c>
    </row>
    <row r="35" spans="1:18">
      <c r="A35" s="15" t="s">
        <v>377</v>
      </c>
      <c r="B35" s="17" t="n">
        <v>2901</v>
      </c>
      <c r="C35" s="18">
        <f>(2528.0/B35*100)</f>
        <v/>
      </c>
      <c r="D35" s="19" t="n">
        <v>373</v>
      </c>
      <c r="E35" s="18" t="n">
        <v>36.92749911</v>
      </c>
      <c r="F35" s="20" t="n">
        <v>2.97480223</v>
      </c>
      <c r="G35" s="18" t="n">
        <v>61.42034346</v>
      </c>
      <c r="H35" s="20" t="n">
        <v>2.89188201</v>
      </c>
      <c r="I35" s="18" t="s">
        <v>349</v>
      </c>
      <c r="J35" s="20" t="s">
        <v>349</v>
      </c>
      <c r="K35" s="18" t="n">
        <v>0</v>
      </c>
      <c r="L35" s="20" t="n">
        <v>0</v>
      </c>
      <c r="M35" s="18" t="n">
        <v>0</v>
      </c>
      <c r="N35" s="20" t="n">
        <v>0</v>
      </c>
      <c r="O35" s="18" t="n">
        <v>0</v>
      </c>
      <c r="P35" s="20" t="n">
        <v>0</v>
      </c>
      <c r="Q35" s="18" t="n">
        <v>1.65215743</v>
      </c>
      <c r="R35" s="20" t="n">
        <v>0.77985295</v>
      </c>
    </row>
    <row r="36" spans="1:18">
      <c r="A36" s="15" t="s">
        <v>378</v>
      </c>
      <c r="B36" s="17" t="n">
        <v>3404</v>
      </c>
      <c r="C36" s="18">
        <f>(2957.0/B36*100)</f>
        <v/>
      </c>
      <c r="D36" s="19" t="n">
        <v>447</v>
      </c>
      <c r="E36" s="18" t="n">
        <v>50.80335082</v>
      </c>
      <c r="F36" s="20" t="n">
        <v>2.74352812</v>
      </c>
      <c r="G36" s="18" t="n">
        <v>46.70777062</v>
      </c>
      <c r="H36" s="20" t="n">
        <v>2.72291542</v>
      </c>
      <c r="I36" s="18" t="s">
        <v>349</v>
      </c>
      <c r="J36" s="20" t="s">
        <v>349</v>
      </c>
      <c r="K36" s="18" t="n">
        <v>0</v>
      </c>
      <c r="L36" s="20" t="n">
        <v>0</v>
      </c>
      <c r="M36" s="18" t="n">
        <v>0</v>
      </c>
      <c r="N36" s="20" t="n">
        <v>0</v>
      </c>
      <c r="O36" s="18" t="n">
        <v>0</v>
      </c>
      <c r="P36" s="20" t="n">
        <v>0</v>
      </c>
      <c r="Q36" s="18" t="n">
        <v>2.48887855</v>
      </c>
      <c r="R36" s="20" t="n">
        <v>0.82062095</v>
      </c>
    </row>
    <row r="37" spans="1:18">
      <c r="A37" s="15" t="s">
        <v>379</v>
      </c>
      <c r="B37" s="17" t="n">
        <v>2731</v>
      </c>
      <c r="C37" s="18">
        <f>(2394.0/B37*100)</f>
        <v/>
      </c>
      <c r="D37" s="19" t="n">
        <v>337</v>
      </c>
      <c r="E37" s="18" t="n">
        <v>41.63874022</v>
      </c>
      <c r="F37" s="20" t="n">
        <v>2.52382668</v>
      </c>
      <c r="G37" s="18" t="n">
        <v>56.14853989</v>
      </c>
      <c r="H37" s="20" t="n">
        <v>2.4839405</v>
      </c>
      <c r="I37" s="18" t="s">
        <v>349</v>
      </c>
      <c r="J37" s="20" t="s">
        <v>349</v>
      </c>
      <c r="K37" s="18" t="n">
        <v>0.28823856</v>
      </c>
      <c r="L37" s="20" t="n">
        <v>0.28274802</v>
      </c>
      <c r="M37" s="18" t="n">
        <v>0</v>
      </c>
      <c r="N37" s="20" t="n">
        <v>0</v>
      </c>
      <c r="O37" s="18" t="n">
        <v>0</v>
      </c>
      <c r="P37" s="20" t="n">
        <v>0</v>
      </c>
      <c r="Q37" s="18" t="n">
        <v>1.92448134</v>
      </c>
      <c r="R37" s="20" t="n">
        <v>0.8185106599999999</v>
      </c>
    </row>
    <row r="38" spans="1:18">
      <c r="A38" s="15" t="s">
        <v>380</v>
      </c>
      <c r="B38" s="17" t="n">
        <v>2807</v>
      </c>
      <c r="C38" s="18">
        <f>(2349.0/B38*100)</f>
        <v/>
      </c>
      <c r="D38" s="19" t="n">
        <v>458</v>
      </c>
      <c r="E38" s="18" t="n">
        <v>32.52128121</v>
      </c>
      <c r="F38" s="20" t="n">
        <v>2.7331668</v>
      </c>
      <c r="G38" s="18" t="n">
        <v>66.51842538</v>
      </c>
      <c r="H38" s="20" t="n">
        <v>2.73681663</v>
      </c>
      <c r="I38" s="18" t="s">
        <v>349</v>
      </c>
      <c r="J38" s="20" t="s">
        <v>349</v>
      </c>
      <c r="K38" s="18" t="n">
        <v>0</v>
      </c>
      <c r="L38" s="20" t="n">
        <v>0</v>
      </c>
      <c r="M38" s="18" t="n">
        <v>0</v>
      </c>
      <c r="N38" s="20" t="n">
        <v>0</v>
      </c>
      <c r="O38" s="18" t="n">
        <v>0</v>
      </c>
      <c r="P38" s="20" t="n">
        <v>0</v>
      </c>
      <c r="Q38" s="18" t="n">
        <v>0.96029341</v>
      </c>
      <c r="R38" s="20" t="n">
        <v>0.39112595</v>
      </c>
    </row>
    <row r="39" spans="1:18">
      <c r="A39" s="15" t="s">
        <v>381</v>
      </c>
      <c r="B39" s="17" t="n">
        <v>2938</v>
      </c>
      <c r="C39" s="18">
        <f>(2583.0/B39*100)</f>
        <v/>
      </c>
      <c r="D39" s="19" t="n">
        <v>355</v>
      </c>
      <c r="E39" s="18" t="n">
        <v>73.74460018000001</v>
      </c>
      <c r="F39" s="20" t="n">
        <v>2.65757314</v>
      </c>
      <c r="G39" s="18" t="n">
        <v>22.9627348</v>
      </c>
      <c r="H39" s="20" t="n">
        <v>2.55371322</v>
      </c>
      <c r="I39" s="18" t="s">
        <v>349</v>
      </c>
      <c r="J39" s="20" t="s">
        <v>349</v>
      </c>
      <c r="K39" s="18" t="n">
        <v>0</v>
      </c>
      <c r="L39" s="20" t="n">
        <v>0</v>
      </c>
      <c r="M39" s="18" t="n">
        <v>0</v>
      </c>
      <c r="N39" s="20" t="n">
        <v>0</v>
      </c>
      <c r="O39" s="18" t="n">
        <v>0</v>
      </c>
      <c r="P39" s="20" t="n">
        <v>0</v>
      </c>
      <c r="Q39" s="18" t="n">
        <v>3.29266502</v>
      </c>
      <c r="R39" s="20" t="n">
        <v>0.80581931</v>
      </c>
    </row>
    <row r="40" spans="1:18">
      <c r="A40" s="15" t="s">
        <v>382</v>
      </c>
      <c r="B40" s="17" t="n">
        <v>6922</v>
      </c>
      <c r="C40" s="18">
        <f>(6087.0/B40*100)</f>
        <v/>
      </c>
      <c r="D40" s="19" t="n">
        <v>835</v>
      </c>
      <c r="E40" s="18" t="n">
        <v>47.84903043</v>
      </c>
      <c r="F40" s="20" t="n">
        <v>2.69423629</v>
      </c>
      <c r="G40" s="18" t="n">
        <v>48.89570843</v>
      </c>
      <c r="H40" s="20" t="n">
        <v>2.51080758</v>
      </c>
      <c r="I40" s="18" t="s">
        <v>349</v>
      </c>
      <c r="J40" s="20" t="s">
        <v>349</v>
      </c>
      <c r="K40" s="18" t="n">
        <v>0.24603287</v>
      </c>
      <c r="L40" s="20" t="n">
        <v>0.30965792</v>
      </c>
      <c r="M40" s="18" t="n">
        <v>0</v>
      </c>
      <c r="N40" s="20" t="n">
        <v>0</v>
      </c>
      <c r="O40" s="18" t="n">
        <v>0</v>
      </c>
      <c r="P40" s="20" t="n">
        <v>0</v>
      </c>
      <c r="Q40" s="18" t="n">
        <v>3.00922826</v>
      </c>
      <c r="R40" s="20" t="n">
        <v>0.9506980900000001</v>
      </c>
    </row>
    <row r="41" spans="1:18">
      <c r="A41" s="15" t="s">
        <v>383</v>
      </c>
      <c r="B41" s="17" t="n">
        <v>2854</v>
      </c>
      <c r="C41" s="18">
        <f>(2482.0/B41*100)</f>
        <v/>
      </c>
      <c r="D41" s="19" t="n">
        <v>372</v>
      </c>
      <c r="E41" s="18" t="n">
        <v>48.15629786</v>
      </c>
      <c r="F41" s="20" t="n">
        <v>2.79131765</v>
      </c>
      <c r="G41" s="18" t="n">
        <v>51.55137508</v>
      </c>
      <c r="H41" s="20" t="n">
        <v>2.79609653</v>
      </c>
      <c r="I41" s="18" t="s">
        <v>349</v>
      </c>
      <c r="J41" s="20" t="s">
        <v>349</v>
      </c>
      <c r="K41" s="18" t="n">
        <v>0</v>
      </c>
      <c r="L41" s="20" t="n">
        <v>0</v>
      </c>
      <c r="M41" s="18" t="n">
        <v>0</v>
      </c>
      <c r="N41" s="20" t="n">
        <v>0</v>
      </c>
      <c r="O41" s="18" t="n">
        <v>0</v>
      </c>
      <c r="P41" s="20" t="n">
        <v>0</v>
      </c>
      <c r="Q41" s="18" t="n">
        <v>0.29232707</v>
      </c>
      <c r="R41" s="20" t="n">
        <v>0.31480637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(10626.0/B46*100)</f>
        <v/>
      </c>
      <c r="D46" s="19" t="n">
        <v>1447</v>
      </c>
      <c r="E46" s="18" t="n">
        <v>61.929552</v>
      </c>
      <c r="F46" s="20" t="n">
        <v>1.89681642</v>
      </c>
      <c r="G46" s="18" t="n">
        <v>34.73832197</v>
      </c>
      <c r="H46" s="20" t="n">
        <v>1.94627679</v>
      </c>
      <c r="I46" s="18" t="s">
        <v>349</v>
      </c>
      <c r="J46" s="20" t="s">
        <v>349</v>
      </c>
      <c r="K46" s="18" t="n">
        <v>0.40187586</v>
      </c>
      <c r="L46" s="20" t="n">
        <v>0.20744248</v>
      </c>
      <c r="M46" s="18" t="n">
        <v>0</v>
      </c>
      <c r="N46" s="20" t="n">
        <v>0</v>
      </c>
      <c r="O46" s="18" t="n">
        <v>0</v>
      </c>
      <c r="P46" s="20" t="n">
        <v>0</v>
      </c>
      <c r="Q46" s="18" t="n">
        <v>2.93025017</v>
      </c>
      <c r="R46" s="20" t="n">
        <v>0.67382231</v>
      </c>
    </row>
    <row r="47" spans="1:18">
      <c r="A47" s="15" t="s">
        <v>389</v>
      </c>
      <c r="B47" s="17" t="n">
        <v>2823</v>
      </c>
      <c r="C47" s="18">
        <f>(2472.0/B47*100)</f>
        <v/>
      </c>
      <c r="D47" s="19" t="n">
        <v>351</v>
      </c>
      <c r="E47" s="18" t="n">
        <v>49.71157938</v>
      </c>
      <c r="F47" s="20" t="n">
        <v>2.93391683</v>
      </c>
      <c r="G47" s="18" t="n">
        <v>49.15585721</v>
      </c>
      <c r="H47" s="20" t="n">
        <v>2.92793387</v>
      </c>
      <c r="I47" s="18" t="s">
        <v>349</v>
      </c>
      <c r="J47" s="20" t="s">
        <v>349</v>
      </c>
      <c r="K47" s="18" t="n">
        <v>0</v>
      </c>
      <c r="L47" s="20" t="n">
        <v>0</v>
      </c>
      <c r="M47" s="18" t="n">
        <v>0</v>
      </c>
      <c r="N47" s="20" t="n">
        <v>0</v>
      </c>
      <c r="O47" s="18" t="n">
        <v>0</v>
      </c>
      <c r="P47" s="20" t="n">
        <v>0</v>
      </c>
      <c r="Q47" s="18" t="n">
        <v>1.13256341</v>
      </c>
      <c r="R47" s="20" t="n">
        <v>0.55090989</v>
      </c>
    </row>
    <row r="48" spans="1:18">
      <c r="A48" s="15" t="s">
        <v>390</v>
      </c>
      <c r="B48" s="17" t="n">
        <v>4682</v>
      </c>
      <c r="C48" s="18">
        <f>(4107.0/B48*100)</f>
        <v/>
      </c>
      <c r="D48" s="19" t="n">
        <v>575</v>
      </c>
      <c r="E48" s="18" t="n">
        <v>40.74361216</v>
      </c>
      <c r="F48" s="20" t="n">
        <v>3.34266839</v>
      </c>
      <c r="G48" s="18" t="n">
        <v>57.08200263</v>
      </c>
      <c r="H48" s="20" t="n">
        <v>3.29427315</v>
      </c>
      <c r="I48" s="18" t="s">
        <v>349</v>
      </c>
      <c r="J48" s="20" t="s">
        <v>349</v>
      </c>
      <c r="K48" s="18" t="n">
        <v>0.0498353</v>
      </c>
      <c r="L48" s="20" t="n">
        <v>0.04942934</v>
      </c>
      <c r="M48" s="18" t="n">
        <v>0</v>
      </c>
      <c r="N48" s="20" t="n">
        <v>0</v>
      </c>
      <c r="O48" s="18" t="n">
        <v>0</v>
      </c>
      <c r="P48" s="20" t="n">
        <v>0</v>
      </c>
      <c r="Q48" s="18" t="n">
        <v>2.12454991</v>
      </c>
      <c r="R48" s="20" t="n">
        <v>0.67210436</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(5408.0/B50*100)</f>
        <v/>
      </c>
      <c r="D50" s="19" t="n">
        <v>750</v>
      </c>
      <c r="E50" s="18" t="n">
        <v>67.10146588000001</v>
      </c>
      <c r="F50" s="20" t="n">
        <v>2.56279694</v>
      </c>
      <c r="G50" s="18" t="n">
        <v>31.59927923</v>
      </c>
      <c r="H50" s="20" t="n">
        <v>2.54575902</v>
      </c>
      <c r="I50" s="18" t="s">
        <v>349</v>
      </c>
      <c r="J50" s="20" t="s">
        <v>349</v>
      </c>
      <c r="K50" s="18" t="n">
        <v>0.00451984</v>
      </c>
      <c r="L50" s="20" t="n">
        <v>0.00429056</v>
      </c>
      <c r="M50" s="18" t="n">
        <v>0</v>
      </c>
      <c r="N50" s="20" t="n">
        <v>0</v>
      </c>
      <c r="O50" s="18" t="n">
        <v>0</v>
      </c>
      <c r="P50" s="20" t="n">
        <v>0</v>
      </c>
      <c r="Q50" s="18" t="n">
        <v>1.29473504</v>
      </c>
      <c r="R50" s="20" t="n">
        <v>0.51590477</v>
      </c>
    </row>
    <row r="51" spans="1:18">
      <c r="A51" s="15" t="s">
        <v>393</v>
      </c>
      <c r="B51" s="17" t="n">
        <v>3494</v>
      </c>
      <c r="C51" s="18">
        <f>(2781.0/B51*100)</f>
        <v/>
      </c>
      <c r="D51" s="19" t="n">
        <v>713</v>
      </c>
      <c r="E51" s="18" t="n">
        <v>63.94072128</v>
      </c>
      <c r="F51" s="20" t="n">
        <v>1.75925001</v>
      </c>
      <c r="G51" s="18" t="n">
        <v>33.10318321</v>
      </c>
      <c r="H51" s="20" t="n">
        <v>1.58488478</v>
      </c>
      <c r="I51" s="18" t="s">
        <v>349</v>
      </c>
      <c r="J51" s="20" t="s">
        <v>349</v>
      </c>
      <c r="K51" s="18" t="n">
        <v>0.30136214</v>
      </c>
      <c r="L51" s="20" t="n">
        <v>0.21587012</v>
      </c>
      <c r="M51" s="18" t="n">
        <v>0</v>
      </c>
      <c r="N51" s="20" t="n">
        <v>0</v>
      </c>
      <c r="O51" s="18" t="n">
        <v>0</v>
      </c>
      <c r="P51" s="20" t="n">
        <v>0</v>
      </c>
      <c r="Q51" s="18" t="n">
        <v>2.65473337</v>
      </c>
      <c r="R51" s="20" t="n">
        <v>0.63229837</v>
      </c>
    </row>
    <row r="52" spans="1:18">
      <c r="A52" s="15" t="s">
        <v>394</v>
      </c>
      <c r="B52" s="17" t="n">
        <v>3013</v>
      </c>
      <c r="C52" s="18">
        <f>(2644.0/B52*100)</f>
        <v/>
      </c>
      <c r="D52" s="19" t="n">
        <v>369</v>
      </c>
      <c r="E52" s="18" t="n">
        <v>46.89929084</v>
      </c>
      <c r="F52" s="20" t="n">
        <v>3.08777797</v>
      </c>
      <c r="G52" s="18" t="n">
        <v>50.41136178</v>
      </c>
      <c r="H52" s="20" t="n">
        <v>3.09465785</v>
      </c>
      <c r="I52" s="18" t="s">
        <v>349</v>
      </c>
      <c r="J52" s="20" t="s">
        <v>349</v>
      </c>
      <c r="K52" s="18" t="n">
        <v>0</v>
      </c>
      <c r="L52" s="20" t="n">
        <v>0</v>
      </c>
      <c r="M52" s="18" t="n">
        <v>0</v>
      </c>
      <c r="N52" s="20" t="n">
        <v>0</v>
      </c>
      <c r="O52" s="18" t="n">
        <v>0</v>
      </c>
      <c r="P52" s="20" t="n">
        <v>0</v>
      </c>
      <c r="Q52" s="18" t="n">
        <v>2.68934739</v>
      </c>
      <c r="R52" s="20" t="n">
        <v>0.71518716</v>
      </c>
    </row>
    <row r="53" spans="1:18">
      <c r="A53" s="15" t="s">
        <v>395</v>
      </c>
      <c r="B53" s="17" t="n">
        <v>2760</v>
      </c>
      <c r="C53" s="18">
        <f>(2408.0/B53*100)</f>
        <v/>
      </c>
      <c r="D53" s="19" t="n">
        <v>352</v>
      </c>
      <c r="E53" s="18" t="n">
        <v>58.62992181</v>
      </c>
      <c r="F53" s="20" t="n">
        <v>2.88581578</v>
      </c>
      <c r="G53" s="18" t="n">
        <v>39.6357171</v>
      </c>
      <c r="H53" s="20" t="n">
        <v>2.83957953</v>
      </c>
      <c r="I53" s="18" t="s">
        <v>349</v>
      </c>
      <c r="J53" s="20" t="s">
        <v>349</v>
      </c>
      <c r="K53" s="18" t="n">
        <v>0</v>
      </c>
      <c r="L53" s="20" t="n">
        <v>0</v>
      </c>
      <c r="M53" s="18" t="n">
        <v>0</v>
      </c>
      <c r="N53" s="20" t="n">
        <v>0</v>
      </c>
      <c r="O53" s="18" t="n">
        <v>0</v>
      </c>
      <c r="P53" s="20" t="n">
        <v>0</v>
      </c>
      <c r="Q53" s="18" t="n">
        <v>1.73436109</v>
      </c>
      <c r="R53" s="20" t="n">
        <v>0.7317347199999999</v>
      </c>
    </row>
    <row r="54" spans="1:18">
      <c r="A54" s="15" t="s">
        <v>396</v>
      </c>
      <c r="B54" s="17" t="n">
        <v>2474</v>
      </c>
      <c r="C54" s="18">
        <f>(2039.0/B54*100)</f>
        <v/>
      </c>
      <c r="D54" s="19" t="n">
        <v>435</v>
      </c>
      <c r="E54" s="18" t="n">
        <v>66.12864227</v>
      </c>
      <c r="F54" s="20" t="n">
        <v>2.25757632</v>
      </c>
      <c r="G54" s="18" t="n">
        <v>25.77692012</v>
      </c>
      <c r="H54" s="20" t="n">
        <v>1.93052232</v>
      </c>
      <c r="I54" s="18" t="s">
        <v>349</v>
      </c>
      <c r="J54" s="20" t="s">
        <v>349</v>
      </c>
      <c r="K54" s="18" t="n">
        <v>4.08021721</v>
      </c>
      <c r="L54" s="20" t="n">
        <v>1.09507408</v>
      </c>
      <c r="M54" s="18" t="n">
        <v>0</v>
      </c>
      <c r="N54" s="20" t="n">
        <v>0</v>
      </c>
      <c r="O54" s="18" t="n">
        <v>0</v>
      </c>
      <c r="P54" s="20" t="n">
        <v>0</v>
      </c>
      <c r="Q54" s="18" t="n">
        <v>4.0142204</v>
      </c>
      <c r="R54" s="20" t="n">
        <v>1.05836172</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(2339.0/B56*100)</f>
        <v/>
      </c>
      <c r="D56" s="19" t="n">
        <v>336</v>
      </c>
      <c r="E56" s="18" t="n">
        <v>33.79040752</v>
      </c>
      <c r="F56" s="20" t="n">
        <v>2.63656601</v>
      </c>
      <c r="G56" s="18" t="n">
        <v>65.65633052</v>
      </c>
      <c r="H56" s="20" t="n">
        <v>2.63780458</v>
      </c>
      <c r="I56" s="18" t="s">
        <v>349</v>
      </c>
      <c r="J56" s="20" t="s">
        <v>349</v>
      </c>
      <c r="K56" s="18" t="n">
        <v>0</v>
      </c>
      <c r="L56" s="20" t="n">
        <v>0</v>
      </c>
      <c r="M56" s="18" t="n">
        <v>0</v>
      </c>
      <c r="N56" s="20" t="n">
        <v>0</v>
      </c>
      <c r="O56" s="18" t="n">
        <v>0</v>
      </c>
      <c r="P56" s="20" t="n">
        <v>0</v>
      </c>
      <c r="Q56" s="18" t="n">
        <v>0.5532619600000001</v>
      </c>
      <c r="R56" s="20" t="n">
        <v>0.39826212</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(2799.0/B61*100)</f>
        <v/>
      </c>
      <c r="D61" s="19" t="n">
        <v>402</v>
      </c>
      <c r="E61" s="18" t="n">
        <v>46.30240115</v>
      </c>
      <c r="F61" s="20" t="n">
        <v>2.71902414</v>
      </c>
      <c r="G61" s="18" t="n">
        <v>52.47403558</v>
      </c>
      <c r="H61" s="20" t="n">
        <v>2.69140863</v>
      </c>
      <c r="I61" s="18" t="s">
        <v>349</v>
      </c>
      <c r="J61" s="20" t="s">
        <v>349</v>
      </c>
      <c r="K61" s="18" t="n">
        <v>0.72120351</v>
      </c>
      <c r="L61" s="20" t="n">
        <v>0.70637302</v>
      </c>
      <c r="M61" s="18" t="n">
        <v>0</v>
      </c>
      <c r="N61" s="20" t="n">
        <v>0</v>
      </c>
      <c r="O61" s="18" t="n">
        <v>0</v>
      </c>
      <c r="P61" s="20" t="n">
        <v>0</v>
      </c>
      <c r="Q61" s="18" t="n">
        <v>0.50235976</v>
      </c>
      <c r="R61" s="20" t="n">
        <v>0.38599476</v>
      </c>
    </row>
    <row r="62" spans="1:18">
      <c r="A62" s="15" t="s">
        <v>404</v>
      </c>
      <c r="B62" s="17" t="n">
        <v>2230</v>
      </c>
      <c r="C62" s="18">
        <f>(1973.0/B62*100)</f>
        <v/>
      </c>
      <c r="D62" s="19" t="n">
        <v>257</v>
      </c>
      <c r="E62" s="18" t="n">
        <v>40.50927498</v>
      </c>
      <c r="F62" s="20" t="n">
        <v>3.0107704</v>
      </c>
      <c r="G62" s="18" t="n">
        <v>58.70695499</v>
      </c>
      <c r="H62" s="20" t="n">
        <v>2.93523631</v>
      </c>
      <c r="I62" s="18" t="s">
        <v>349</v>
      </c>
      <c r="J62" s="20" t="s">
        <v>349</v>
      </c>
      <c r="K62" s="18" t="n">
        <v>0</v>
      </c>
      <c r="L62" s="20" t="n">
        <v>0</v>
      </c>
      <c r="M62" s="18" t="n">
        <v>0</v>
      </c>
      <c r="N62" s="20" t="n">
        <v>0</v>
      </c>
      <c r="O62" s="18" t="n">
        <v>0</v>
      </c>
      <c r="P62" s="20" t="n">
        <v>0</v>
      </c>
      <c r="Q62" s="18" t="n">
        <v>0.78377002</v>
      </c>
      <c r="R62" s="20" t="n">
        <v>0.55257077</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(2436.0/B66*100)</f>
        <v/>
      </c>
      <c r="D66" s="19" t="n">
        <v>335</v>
      </c>
      <c r="E66" s="18" t="n">
        <v>51.5213324</v>
      </c>
      <c r="F66" s="20" t="n">
        <v>2.42949324</v>
      </c>
      <c r="G66" s="18" t="n">
        <v>43.03747363</v>
      </c>
      <c r="H66" s="20" t="n">
        <v>2.31910527</v>
      </c>
      <c r="I66" s="18" t="s">
        <v>349</v>
      </c>
      <c r="J66" s="20" t="s">
        <v>349</v>
      </c>
      <c r="K66" s="18" t="n">
        <v>0.38347085</v>
      </c>
      <c r="L66" s="20" t="n">
        <v>0.38087302</v>
      </c>
      <c r="M66" s="18" t="n">
        <v>0</v>
      </c>
      <c r="N66" s="20" t="n">
        <v>0</v>
      </c>
      <c r="O66" s="18" t="n">
        <v>0</v>
      </c>
      <c r="P66" s="20" t="n">
        <v>0</v>
      </c>
      <c r="Q66" s="18" t="n">
        <v>5.05772311</v>
      </c>
      <c r="R66" s="20" t="n">
        <v>1.40364954</v>
      </c>
    </row>
    <row r="67" spans="1:18">
      <c r="A67" s="15" t="s">
        <v>409</v>
      </c>
      <c r="B67" s="17" t="n">
        <v>3460</v>
      </c>
      <c r="C67" s="18">
        <f>(3033.0/B67*100)</f>
        <v/>
      </c>
      <c r="D67" s="19" t="n">
        <v>427</v>
      </c>
      <c r="E67" s="18" t="n">
        <v>72.58938942</v>
      </c>
      <c r="F67" s="20" t="n">
        <v>2.33055871</v>
      </c>
      <c r="G67" s="18" t="n">
        <v>23.38319755</v>
      </c>
      <c r="H67" s="20" t="n">
        <v>2.30473561</v>
      </c>
      <c r="I67" s="18" t="s">
        <v>349</v>
      </c>
      <c r="J67" s="20" t="s">
        <v>349</v>
      </c>
      <c r="K67" s="18" t="n">
        <v>0</v>
      </c>
      <c r="L67" s="20" t="n">
        <v>0</v>
      </c>
      <c r="M67" s="18" t="n">
        <v>0</v>
      </c>
      <c r="N67" s="20" t="n">
        <v>0</v>
      </c>
      <c r="O67" s="18" t="n">
        <v>0</v>
      </c>
      <c r="P67" s="20" t="n">
        <v>0</v>
      </c>
      <c r="Q67" s="18" t="n">
        <v>4.02741303</v>
      </c>
      <c r="R67" s="20" t="n">
        <v>0.79482515</v>
      </c>
    </row>
    <row r="68" spans="1:18">
      <c r="A68" s="15" t="s">
        <v>410</v>
      </c>
      <c r="B68" s="17" t="n">
        <v>6034</v>
      </c>
      <c r="C68" s="18">
        <f>(5039.0/B68*100)</f>
        <v/>
      </c>
      <c r="D68" s="19" t="n">
        <v>995</v>
      </c>
      <c r="E68" s="18" t="n">
        <v>64.26701516999999</v>
      </c>
      <c r="F68" s="20" t="n">
        <v>1.49348144</v>
      </c>
      <c r="G68" s="18" t="n">
        <v>32.65146767</v>
      </c>
      <c r="H68" s="20" t="n">
        <v>1.46596811</v>
      </c>
      <c r="I68" s="18" t="s">
        <v>349</v>
      </c>
      <c r="J68" s="20" t="s">
        <v>349</v>
      </c>
      <c r="K68" s="18" t="n">
        <v>0.19188628</v>
      </c>
      <c r="L68" s="20" t="n">
        <v>0.13539699</v>
      </c>
      <c r="M68" s="18" t="n">
        <v>0</v>
      </c>
      <c r="N68" s="20" t="n">
        <v>0</v>
      </c>
      <c r="O68" s="18" t="n">
        <v>0</v>
      </c>
      <c r="P68" s="20" t="n">
        <v>0</v>
      </c>
      <c r="Q68" s="18" t="n">
        <v>2.88963088</v>
      </c>
      <c r="R68" s="20" t="n">
        <v>0.54105041</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(2749.0/B70*100)</f>
        <v/>
      </c>
      <c r="D70" s="19" t="n">
        <v>358</v>
      </c>
      <c r="E70" s="18" t="n">
        <v>37.75183652</v>
      </c>
      <c r="F70" s="20" t="n">
        <v>2.83389804</v>
      </c>
      <c r="G70" s="18" t="n">
        <v>61.15113493</v>
      </c>
      <c r="H70" s="20" t="n">
        <v>2.85382578</v>
      </c>
      <c r="I70" s="18" t="s">
        <v>349</v>
      </c>
      <c r="J70" s="20" t="s">
        <v>349</v>
      </c>
      <c r="K70" s="18" t="n">
        <v>0.22103249</v>
      </c>
      <c r="L70" s="20" t="n">
        <v>0.21850585</v>
      </c>
      <c r="M70" s="18" t="n">
        <v>0</v>
      </c>
      <c r="N70" s="20" t="n">
        <v>0</v>
      </c>
      <c r="O70" s="18" t="n">
        <v>0</v>
      </c>
      <c r="P70" s="20" t="n">
        <v>0</v>
      </c>
      <c r="Q70" s="18" t="n">
        <v>0.87599605</v>
      </c>
      <c r="R70" s="20" t="n">
        <v>0.52268241</v>
      </c>
    </row>
    <row r="71" spans="1:18">
      <c r="A71" s="15" t="s">
        <v>413</v>
      </c>
      <c r="B71" s="17" t="n">
        <v>2973</v>
      </c>
      <c r="C71" s="18">
        <f>(2594.0/B71*100)</f>
        <v/>
      </c>
      <c r="D71" s="19" t="n">
        <v>379</v>
      </c>
      <c r="E71" s="18" t="n">
        <v>33.29831062</v>
      </c>
      <c r="F71" s="20" t="n">
        <v>2.64642113</v>
      </c>
      <c r="G71" s="18" t="n">
        <v>65.91872634000001</v>
      </c>
      <c r="H71" s="20" t="n">
        <v>2.67856879</v>
      </c>
      <c r="I71" s="18" t="s">
        <v>349</v>
      </c>
      <c r="J71" s="20" t="s">
        <v>349</v>
      </c>
      <c r="K71" s="18" t="n">
        <v>0.30216956</v>
      </c>
      <c r="L71" s="20" t="n">
        <v>0.30056096</v>
      </c>
      <c r="M71" s="18" t="n">
        <v>0</v>
      </c>
      <c r="N71" s="20" t="n">
        <v>0</v>
      </c>
      <c r="O71" s="18" t="n">
        <v>0</v>
      </c>
      <c r="P71" s="20" t="n">
        <v>0</v>
      </c>
      <c r="Q71" s="18" t="n">
        <v>0.48079348</v>
      </c>
      <c r="R71" s="20" t="n">
        <v>0.34344726</v>
      </c>
    </row>
    <row r="72" spans="1:18">
      <c r="A72" s="15" t="s">
        <v>414</v>
      </c>
      <c r="B72" s="17" t="n">
        <v>3819</v>
      </c>
      <c r="C72" s="18">
        <f>(3329.0/B72*100)</f>
        <v/>
      </c>
      <c r="D72" s="19" t="n">
        <v>490</v>
      </c>
      <c r="E72" s="18" t="n">
        <v>43.24932518</v>
      </c>
      <c r="F72" s="20" t="n">
        <v>2.41326427</v>
      </c>
      <c r="G72" s="18" t="n">
        <v>56.10070152</v>
      </c>
      <c r="H72" s="20" t="n">
        <v>2.38773238</v>
      </c>
      <c r="I72" s="18" t="s">
        <v>349</v>
      </c>
      <c r="J72" s="20" t="s">
        <v>349</v>
      </c>
      <c r="K72" s="18" t="n">
        <v>0.22178018</v>
      </c>
      <c r="L72" s="20" t="n">
        <v>0.22147429</v>
      </c>
      <c r="M72" s="18" t="n">
        <v>0</v>
      </c>
      <c r="N72" s="20" t="n">
        <v>0</v>
      </c>
      <c r="O72" s="18" t="n">
        <v>0</v>
      </c>
      <c r="P72" s="20" t="n">
        <v>0</v>
      </c>
      <c r="Q72" s="18" t="n">
        <v>0.42819312</v>
      </c>
      <c r="R72" s="20" t="n">
        <v>0.31502822</v>
      </c>
    </row>
    <row r="73" spans="1:18">
      <c r="A73" s="15" t="s">
        <v>415</v>
      </c>
      <c r="B73" s="17" t="n">
        <v>4652</v>
      </c>
      <c r="C73" s="18">
        <f>(4084.0/B73*100)</f>
        <v/>
      </c>
      <c r="D73" s="19" t="n">
        <v>568</v>
      </c>
      <c r="E73" s="18" t="n">
        <v>75.43483173</v>
      </c>
      <c r="F73" s="20" t="n">
        <v>2.44176774</v>
      </c>
      <c r="G73" s="18" t="n">
        <v>24.56516827</v>
      </c>
      <c r="H73" s="20" t="n">
        <v>2.44176774</v>
      </c>
      <c r="I73" s="18" t="s">
        <v>349</v>
      </c>
      <c r="J73" s="20" t="s">
        <v>349</v>
      </c>
      <c r="K73" s="18" t="n">
        <v>0</v>
      </c>
      <c r="L73" s="20" t="n">
        <v>0</v>
      </c>
      <c r="M73" s="18" t="n">
        <v>0</v>
      </c>
      <c r="N73" s="20" t="n">
        <v>0</v>
      </c>
      <c r="O73" s="18" t="n">
        <v>0</v>
      </c>
      <c r="P73" s="20" t="n">
        <v>0</v>
      </c>
      <c r="Q73" s="18" t="n">
        <v>0</v>
      </c>
      <c r="R73" s="20" t="n">
        <v>0</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(2613.0/B75*100)</f>
        <v/>
      </c>
      <c r="D75" s="19" t="n">
        <v>356</v>
      </c>
      <c r="E75" s="18" t="n">
        <v>72.86185979</v>
      </c>
      <c r="F75" s="20" t="n">
        <v>2.76274979</v>
      </c>
      <c r="G75" s="18" t="n">
        <v>22.64081116</v>
      </c>
      <c r="H75" s="20" t="n">
        <v>2.51209135</v>
      </c>
      <c r="I75" s="18" t="s">
        <v>349</v>
      </c>
      <c r="J75" s="20" t="s">
        <v>349</v>
      </c>
      <c r="K75" s="18" t="n">
        <v>1.44159529</v>
      </c>
      <c r="L75" s="20" t="n">
        <v>0.61429402</v>
      </c>
      <c r="M75" s="18" t="n">
        <v>0</v>
      </c>
      <c r="N75" s="20" t="n">
        <v>0</v>
      </c>
      <c r="O75" s="18" t="n">
        <v>0</v>
      </c>
      <c r="P75" s="20" t="n">
        <v>0</v>
      </c>
      <c r="Q75" s="18" t="n">
        <v>3.05573376</v>
      </c>
      <c r="R75" s="20" t="n">
        <v>1.18641846</v>
      </c>
    </row>
    <row r="76" spans="1:18">
      <c r="A76" s="15" t="s">
        <v>418</v>
      </c>
      <c r="B76" s="17" t="n">
        <v>7115</v>
      </c>
      <c r="C76" s="18">
        <f>(6228.0/B76*100)</f>
        <v/>
      </c>
      <c r="D76" s="19" t="n">
        <v>887</v>
      </c>
      <c r="E76" s="18" t="n">
        <v>60.69715894</v>
      </c>
      <c r="F76" s="20" t="n">
        <v>2.31450923</v>
      </c>
      <c r="G76" s="18" t="n">
        <v>38.68097319</v>
      </c>
      <c r="H76" s="20" t="n">
        <v>2.31380956</v>
      </c>
      <c r="I76" s="18" t="s">
        <v>349</v>
      </c>
      <c r="J76" s="20" t="s">
        <v>349</v>
      </c>
      <c r="K76" s="18" t="n">
        <v>0</v>
      </c>
      <c r="L76" s="20" t="n">
        <v>0</v>
      </c>
      <c r="M76" s="18" t="n">
        <v>0</v>
      </c>
      <c r="N76" s="20" t="n">
        <v>0</v>
      </c>
      <c r="O76" s="18" t="n">
        <v>0</v>
      </c>
      <c r="P76" s="20" t="n">
        <v>0</v>
      </c>
      <c r="Q76" s="18" t="n">
        <v>0.62186787</v>
      </c>
      <c r="R76" s="20" t="n">
        <v>0.25621332</v>
      </c>
    </row>
    <row r="77" spans="1:18">
      <c r="A77" s="15" t="s">
        <v>419</v>
      </c>
      <c r="B77" s="17" t="n">
        <v>3154</v>
      </c>
      <c r="C77" s="18">
        <f>(2761.0/B77*100)</f>
        <v/>
      </c>
      <c r="D77" s="19" t="n">
        <v>393</v>
      </c>
      <c r="E77" s="18" t="n">
        <v>59.2899372</v>
      </c>
      <c r="F77" s="20" t="n">
        <v>2.54259804</v>
      </c>
      <c r="G77" s="18" t="n">
        <v>36.61941914</v>
      </c>
      <c r="H77" s="20" t="n">
        <v>2.53421078</v>
      </c>
      <c r="I77" s="18" t="s">
        <v>349</v>
      </c>
      <c r="J77" s="20" t="s">
        <v>349</v>
      </c>
      <c r="K77" s="18" t="n">
        <v>0.22674644</v>
      </c>
      <c r="L77" s="20" t="n">
        <v>0.21217139</v>
      </c>
      <c r="M77" s="18" t="n">
        <v>0</v>
      </c>
      <c r="N77" s="20" t="n">
        <v>0</v>
      </c>
      <c r="O77" s="18" t="n">
        <v>0</v>
      </c>
      <c r="P77" s="20" t="n">
        <v>0</v>
      </c>
      <c r="Q77" s="18" t="n">
        <v>3.86389721</v>
      </c>
      <c r="R77" s="20" t="n">
        <v>1.17043374</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(4101.0/B81*100)</f>
        <v/>
      </c>
      <c r="D81" s="19" t="n">
        <v>597</v>
      </c>
      <c r="E81" s="18" t="n">
        <v>64.70798842000001</v>
      </c>
      <c r="F81" s="20" t="n">
        <v>2.35951867</v>
      </c>
      <c r="G81" s="18" t="n">
        <v>34.03651864</v>
      </c>
      <c r="H81" s="20" t="n">
        <v>2.41073349</v>
      </c>
      <c r="I81" s="18" t="s">
        <v>349</v>
      </c>
      <c r="J81" s="20" t="s">
        <v>349</v>
      </c>
      <c r="K81" s="18" t="n">
        <v>0</v>
      </c>
      <c r="L81" s="20" t="n">
        <v>0</v>
      </c>
      <c r="M81" s="18" t="n">
        <v>0</v>
      </c>
      <c r="N81" s="20" t="n">
        <v>0</v>
      </c>
      <c r="O81" s="18" t="n">
        <v>0</v>
      </c>
      <c r="P81" s="20" t="n">
        <v>0</v>
      </c>
      <c r="Q81" s="18" t="n">
        <v>1.25549295</v>
      </c>
      <c r="R81" s="20" t="n">
        <v>0.55094127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(6278.0/B7*100)</f>
        <v/>
      </c>
      <c r="D7" s="19" t="n">
        <v>885</v>
      </c>
      <c r="E7" s="18" t="n">
        <v>64.08381420000001</v>
      </c>
      <c r="F7" s="20" t="n">
        <v>1.99241499</v>
      </c>
      <c r="G7" s="18" t="n">
        <v>29.22216686</v>
      </c>
      <c r="H7" s="20" t="n">
        <v>2.06539305</v>
      </c>
      <c r="I7" s="18" t="s">
        <v>349</v>
      </c>
      <c r="J7" s="20" t="s">
        <v>349</v>
      </c>
      <c r="K7" s="18" t="n">
        <v>0.08389514000000001</v>
      </c>
      <c r="L7" s="20" t="n">
        <v>0.08206136999999999</v>
      </c>
      <c r="M7" s="18" t="n">
        <v>0</v>
      </c>
      <c r="N7" s="20" t="n">
        <v>0</v>
      </c>
      <c r="O7" s="18" t="n">
        <v>0</v>
      </c>
      <c r="P7" s="20" t="n">
        <v>0</v>
      </c>
      <c r="Q7" s="18" t="n">
        <v>6.6101238</v>
      </c>
      <c r="R7" s="20" t="n">
        <v>0.87816046</v>
      </c>
    </row>
    <row r="8" spans="1:18">
      <c r="A8" s="15" t="s">
        <v>350</v>
      </c>
      <c r="B8" s="17" t="n">
        <v>3443</v>
      </c>
      <c r="C8" s="18">
        <f>(3003.0/B8*100)</f>
        <v/>
      </c>
      <c r="D8" s="19" t="n">
        <v>440</v>
      </c>
      <c r="E8" s="18" t="n">
        <v>60.56448831</v>
      </c>
      <c r="F8" s="20" t="n">
        <v>2.66909516</v>
      </c>
      <c r="G8" s="18" t="n">
        <v>29.18222074</v>
      </c>
      <c r="H8" s="20" t="n">
        <v>2.57220072</v>
      </c>
      <c r="I8" s="18" t="s">
        <v>349</v>
      </c>
      <c r="J8" s="20" t="s">
        <v>349</v>
      </c>
      <c r="K8" s="18" t="n">
        <v>0.08130403</v>
      </c>
      <c r="L8" s="20" t="n">
        <v>0.08122512</v>
      </c>
      <c r="M8" s="18" t="n">
        <v>0</v>
      </c>
      <c r="N8" s="20" t="n">
        <v>0</v>
      </c>
      <c r="O8" s="18" t="n">
        <v>0</v>
      </c>
      <c r="P8" s="20" t="n">
        <v>0</v>
      </c>
      <c r="Q8" s="18" t="n">
        <v>10.17198692</v>
      </c>
      <c r="R8" s="20" t="n">
        <v>1.34348296</v>
      </c>
    </row>
    <row r="9" spans="1:18">
      <c r="A9" s="15" t="s">
        <v>351</v>
      </c>
      <c r="B9" s="17" t="n">
        <v>4752</v>
      </c>
      <c r="C9" s="18">
        <f>(4077.0/B9*100)</f>
        <v/>
      </c>
      <c r="D9" s="19" t="n">
        <v>675</v>
      </c>
      <c r="E9" s="18" t="n">
        <v>55.44694501</v>
      </c>
      <c r="F9" s="20" t="n">
        <v>1.91079226</v>
      </c>
      <c r="G9" s="18" t="n">
        <v>31.36871767</v>
      </c>
      <c r="H9" s="20" t="n">
        <v>2.19059176</v>
      </c>
      <c r="I9" s="18" t="s">
        <v>349</v>
      </c>
      <c r="J9" s="20" t="s">
        <v>349</v>
      </c>
      <c r="K9" s="18" t="n">
        <v>1.56056244</v>
      </c>
      <c r="L9" s="20" t="n">
        <v>0.57767675</v>
      </c>
      <c r="M9" s="18" t="n">
        <v>0</v>
      </c>
      <c r="N9" s="20" t="n">
        <v>0</v>
      </c>
      <c r="O9" s="18" t="n">
        <v>0</v>
      </c>
      <c r="P9" s="20" t="n">
        <v>0</v>
      </c>
      <c r="Q9" s="18" t="n">
        <v>11.62377488</v>
      </c>
      <c r="R9" s="20" t="n">
        <v>1.26848489</v>
      </c>
    </row>
    <row r="10" spans="1:18">
      <c r="A10" s="15" t="s">
        <v>352</v>
      </c>
      <c r="B10" s="17" t="n">
        <v>10022</v>
      </c>
      <c r="C10" s="18">
        <f>(8754.0/B10*100)</f>
        <v/>
      </c>
      <c r="D10" s="19" t="n">
        <v>1268</v>
      </c>
      <c r="E10" s="18" t="n">
        <v>64.68559694</v>
      </c>
      <c r="F10" s="20" t="n">
        <v>1.93081428</v>
      </c>
      <c r="G10" s="18" t="n">
        <v>29.35591892</v>
      </c>
      <c r="H10" s="20" t="n">
        <v>1.88831232</v>
      </c>
      <c r="I10" s="18" t="s">
        <v>349</v>
      </c>
      <c r="J10" s="20" t="s">
        <v>349</v>
      </c>
      <c r="K10" s="18" t="n">
        <v>0.02493152</v>
      </c>
      <c r="L10" s="20" t="n">
        <v>0.02096049</v>
      </c>
      <c r="M10" s="18" t="n">
        <v>0</v>
      </c>
      <c r="N10" s="20" t="n">
        <v>0</v>
      </c>
      <c r="O10" s="18" t="n">
        <v>0</v>
      </c>
      <c r="P10" s="20" t="n">
        <v>0</v>
      </c>
      <c r="Q10" s="18" t="n">
        <v>5.93355262</v>
      </c>
      <c r="R10" s="20" t="n">
        <v>0.91070395</v>
      </c>
    </row>
    <row r="11" spans="1:18">
      <c r="A11" s="15" t="s">
        <v>353</v>
      </c>
      <c r="B11" s="17" t="n">
        <v>3500</v>
      </c>
      <c r="C11" s="18">
        <f>(3075.0/B11*100)</f>
        <v/>
      </c>
      <c r="D11" s="19" t="n">
        <v>425</v>
      </c>
      <c r="E11" s="18" t="n">
        <v>76.9173808</v>
      </c>
      <c r="F11" s="20" t="n">
        <v>2.31442433</v>
      </c>
      <c r="G11" s="18" t="n">
        <v>10.90085657</v>
      </c>
      <c r="H11" s="20" t="n">
        <v>1.52223376</v>
      </c>
      <c r="I11" s="18" t="s">
        <v>349</v>
      </c>
      <c r="J11" s="20" t="s">
        <v>349</v>
      </c>
      <c r="K11" s="18" t="n">
        <v>0.28227095</v>
      </c>
      <c r="L11" s="20" t="n">
        <v>0.27987192</v>
      </c>
      <c r="M11" s="18" t="n">
        <v>0</v>
      </c>
      <c r="N11" s="20" t="n">
        <v>0</v>
      </c>
      <c r="O11" s="18" t="n">
        <v>0</v>
      </c>
      <c r="P11" s="20" t="n">
        <v>0</v>
      </c>
      <c r="Q11" s="18" t="n">
        <v>11.89949168</v>
      </c>
      <c r="R11" s="20" t="n">
        <v>2.03833252</v>
      </c>
    </row>
    <row r="12" spans="1:18">
      <c r="A12" s="15" t="s">
        <v>354</v>
      </c>
      <c r="B12" s="17" t="n">
        <v>3422</v>
      </c>
      <c r="C12" s="18">
        <f>(2990.0/B12*100)</f>
        <v/>
      </c>
      <c r="D12" s="19" t="n">
        <v>432</v>
      </c>
      <c r="E12" s="18" t="n">
        <v>65.30436702</v>
      </c>
      <c r="F12" s="20" t="n">
        <v>2.42206954</v>
      </c>
      <c r="G12" s="18" t="n">
        <v>23.7985542</v>
      </c>
      <c r="H12" s="20" t="n">
        <v>2.44586819</v>
      </c>
      <c r="I12" s="18" t="s">
        <v>349</v>
      </c>
      <c r="J12" s="20" t="s">
        <v>349</v>
      </c>
      <c r="K12" s="18" t="n">
        <v>0</v>
      </c>
      <c r="L12" s="20" t="n">
        <v>0</v>
      </c>
      <c r="M12" s="18" t="n">
        <v>0</v>
      </c>
      <c r="N12" s="20" t="n">
        <v>0</v>
      </c>
      <c r="O12" s="18" t="n">
        <v>0</v>
      </c>
      <c r="P12" s="20" t="n">
        <v>0</v>
      </c>
      <c r="Q12" s="18" t="n">
        <v>10.89707877</v>
      </c>
      <c r="R12" s="20" t="n">
        <v>1.55546855</v>
      </c>
    </row>
    <row r="13" spans="1:18">
      <c r="A13" s="15" t="s">
        <v>355</v>
      </c>
      <c r="B13" s="17" t="n">
        <v>3602</v>
      </c>
      <c r="C13" s="18">
        <f>(3019.0/B13*100)</f>
        <v/>
      </c>
      <c r="D13" s="19" t="n">
        <v>583</v>
      </c>
      <c r="E13" s="18" t="n">
        <v>59.6508225</v>
      </c>
      <c r="F13" s="20" t="n">
        <v>2.4039495</v>
      </c>
      <c r="G13" s="18" t="n">
        <v>30.1899399</v>
      </c>
      <c r="H13" s="20" t="n">
        <v>2.46389213</v>
      </c>
      <c r="I13" s="18" t="s">
        <v>349</v>
      </c>
      <c r="J13" s="20" t="s">
        <v>349</v>
      </c>
      <c r="K13" s="18" t="n">
        <v>0.93608371</v>
      </c>
      <c r="L13" s="20" t="n">
        <v>0.45410271</v>
      </c>
      <c r="M13" s="18" t="n">
        <v>0</v>
      </c>
      <c r="N13" s="20" t="n">
        <v>0</v>
      </c>
      <c r="O13" s="18" t="n">
        <v>0</v>
      </c>
      <c r="P13" s="20" t="n">
        <v>0</v>
      </c>
      <c r="Q13" s="18" t="n">
        <v>9.223153890000001</v>
      </c>
      <c r="R13" s="20" t="n">
        <v>1.53330076</v>
      </c>
    </row>
    <row r="14" spans="1:18">
      <c r="A14" s="15" t="s">
        <v>356</v>
      </c>
      <c r="B14" s="17" t="n">
        <v>2788</v>
      </c>
      <c r="C14" s="18">
        <f>(2455.0/B14*100)</f>
        <v/>
      </c>
      <c r="D14" s="19" t="n">
        <v>333</v>
      </c>
      <c r="E14" s="18" t="n">
        <v>63.83826961</v>
      </c>
      <c r="F14" s="20" t="n">
        <v>2.79164149</v>
      </c>
      <c r="G14" s="18" t="n">
        <v>31.24876742</v>
      </c>
      <c r="H14" s="20" t="n">
        <v>2.62217837</v>
      </c>
      <c r="I14" s="18" t="s">
        <v>349</v>
      </c>
      <c r="J14" s="20" t="s">
        <v>349</v>
      </c>
      <c r="K14" s="18" t="n">
        <v>0</v>
      </c>
      <c r="L14" s="20" t="n">
        <v>0</v>
      </c>
      <c r="M14" s="18" t="n">
        <v>0</v>
      </c>
      <c r="N14" s="20" t="n">
        <v>0</v>
      </c>
      <c r="O14" s="18" t="n">
        <v>0</v>
      </c>
      <c r="P14" s="20" t="n">
        <v>0</v>
      </c>
      <c r="Q14" s="18" t="n">
        <v>4.91296297</v>
      </c>
      <c r="R14" s="20" t="n">
        <v>1.32416734</v>
      </c>
    </row>
    <row r="15" spans="1:18">
      <c r="A15" s="15" t="s">
        <v>357</v>
      </c>
      <c r="B15" s="17" t="n">
        <v>2863</v>
      </c>
      <c r="C15" s="18">
        <f>(2504.0/B15*100)</f>
        <v/>
      </c>
      <c r="D15" s="19" t="n">
        <v>359</v>
      </c>
      <c r="E15" s="18" t="n">
        <v>69.91114643</v>
      </c>
      <c r="F15" s="20" t="n">
        <v>2.39899754</v>
      </c>
      <c r="G15" s="18" t="n">
        <v>18.3198427</v>
      </c>
      <c r="H15" s="20" t="n">
        <v>2.29980997</v>
      </c>
      <c r="I15" s="18" t="s">
        <v>349</v>
      </c>
      <c r="J15" s="20" t="s">
        <v>349</v>
      </c>
      <c r="K15" s="18" t="n">
        <v>0.86720337</v>
      </c>
      <c r="L15" s="20" t="n">
        <v>0.67304599</v>
      </c>
      <c r="M15" s="18" t="n">
        <v>0</v>
      </c>
      <c r="N15" s="20" t="n">
        <v>0</v>
      </c>
      <c r="O15" s="18" t="n">
        <v>0</v>
      </c>
      <c r="P15" s="20" t="n">
        <v>0</v>
      </c>
      <c r="Q15" s="18" t="n">
        <v>10.9018075</v>
      </c>
      <c r="R15" s="20" t="n">
        <v>1.93908348</v>
      </c>
    </row>
    <row r="16" spans="1:18">
      <c r="A16" s="15" t="s">
        <v>358</v>
      </c>
      <c r="B16" s="17" t="n">
        <v>3111</v>
      </c>
      <c r="C16" s="18">
        <f>(2738.0/B16*100)</f>
        <v/>
      </c>
      <c r="D16" s="19" t="n">
        <v>373</v>
      </c>
      <c r="E16" s="18" t="n">
        <v>54.65787757</v>
      </c>
      <c r="F16" s="20" t="n">
        <v>2.42630906</v>
      </c>
      <c r="G16" s="18" t="n">
        <v>34.20906434</v>
      </c>
      <c r="H16" s="20" t="n">
        <v>2.53133278</v>
      </c>
      <c r="I16" s="18" t="s">
        <v>349</v>
      </c>
      <c r="J16" s="20" t="s">
        <v>349</v>
      </c>
      <c r="K16" s="18" t="n">
        <v>0</v>
      </c>
      <c r="L16" s="20" t="n">
        <v>0</v>
      </c>
      <c r="M16" s="18" t="n">
        <v>0</v>
      </c>
      <c r="N16" s="20" t="n">
        <v>0</v>
      </c>
      <c r="O16" s="18" t="n">
        <v>0</v>
      </c>
      <c r="P16" s="20" t="n">
        <v>0</v>
      </c>
      <c r="Q16" s="18" t="n">
        <v>11.13305809</v>
      </c>
      <c r="R16" s="20" t="n">
        <v>1.67917789</v>
      </c>
    </row>
    <row r="17" spans="1:18">
      <c r="A17" s="15" t="s">
        <v>359</v>
      </c>
      <c r="B17" s="17" t="n">
        <v>3197</v>
      </c>
      <c r="C17" s="18">
        <f>(2765.0/B17*100)</f>
        <v/>
      </c>
      <c r="D17" s="19" t="n">
        <v>432</v>
      </c>
      <c r="E17" s="18" t="n">
        <v>56.59418476</v>
      </c>
      <c r="F17" s="20" t="n">
        <v>2.37415756</v>
      </c>
      <c r="G17" s="18" t="n">
        <v>33.02593396</v>
      </c>
      <c r="H17" s="20" t="n">
        <v>2.00021312</v>
      </c>
      <c r="I17" s="18" t="s">
        <v>349</v>
      </c>
      <c r="J17" s="20" t="s">
        <v>349</v>
      </c>
      <c r="K17" s="18" t="n">
        <v>1.10899597</v>
      </c>
      <c r="L17" s="20" t="n">
        <v>0.52081082</v>
      </c>
      <c r="M17" s="18" t="n">
        <v>0</v>
      </c>
      <c r="N17" s="20" t="n">
        <v>0</v>
      </c>
      <c r="O17" s="18" t="n">
        <v>0</v>
      </c>
      <c r="P17" s="20" t="n">
        <v>0</v>
      </c>
      <c r="Q17" s="18" t="n">
        <v>9.270885310000001</v>
      </c>
      <c r="R17" s="20" t="n">
        <v>1.53533726</v>
      </c>
    </row>
    <row r="18" spans="1:18">
      <c r="A18" s="15" t="s">
        <v>360</v>
      </c>
      <c r="B18" s="17" t="n">
        <v>2706</v>
      </c>
      <c r="C18" s="18">
        <f>(2382.0/B18*100)</f>
        <v/>
      </c>
      <c r="D18" s="19" t="n">
        <v>324</v>
      </c>
      <c r="E18" s="18" t="n">
        <v>70.70075839</v>
      </c>
      <c r="F18" s="20" t="n">
        <v>3.22673747</v>
      </c>
      <c r="G18" s="18" t="n">
        <v>20.6684729</v>
      </c>
      <c r="H18" s="20" t="n">
        <v>2.68964586</v>
      </c>
      <c r="I18" s="18" t="s">
        <v>349</v>
      </c>
      <c r="J18" s="20" t="s">
        <v>349</v>
      </c>
      <c r="K18" s="18" t="n">
        <v>0</v>
      </c>
      <c r="L18" s="20" t="n">
        <v>0</v>
      </c>
      <c r="M18" s="18" t="n">
        <v>0</v>
      </c>
      <c r="N18" s="20" t="n">
        <v>0</v>
      </c>
      <c r="O18" s="18" t="n">
        <v>0</v>
      </c>
      <c r="P18" s="20" t="n">
        <v>0</v>
      </c>
      <c r="Q18" s="18" t="n">
        <v>8.63076871</v>
      </c>
      <c r="R18" s="20" t="n">
        <v>1.7916347</v>
      </c>
    </row>
    <row r="19" spans="1:18">
      <c r="A19" s="15" t="s">
        <v>361</v>
      </c>
      <c r="B19" s="17" t="n">
        <v>2850</v>
      </c>
      <c r="C19" s="18">
        <f>(2524.0/B19*100)</f>
        <v/>
      </c>
      <c r="D19" s="19" t="n">
        <v>326</v>
      </c>
      <c r="E19" s="18" t="n">
        <v>69.65774054000001</v>
      </c>
      <c r="F19" s="20" t="n">
        <v>2.72820472</v>
      </c>
      <c r="G19" s="18" t="n">
        <v>19.31162711</v>
      </c>
      <c r="H19" s="20" t="n">
        <v>2.23058782</v>
      </c>
      <c r="I19" s="18" t="s">
        <v>349</v>
      </c>
      <c r="J19" s="20" t="s">
        <v>349</v>
      </c>
      <c r="K19" s="18" t="n">
        <v>0</v>
      </c>
      <c r="L19" s="20" t="n">
        <v>0</v>
      </c>
      <c r="M19" s="18" t="n">
        <v>0</v>
      </c>
      <c r="N19" s="20" t="n">
        <v>0</v>
      </c>
      <c r="O19" s="18" t="n">
        <v>0</v>
      </c>
      <c r="P19" s="20" t="n">
        <v>0</v>
      </c>
      <c r="Q19" s="18" t="n">
        <v>11.03063235</v>
      </c>
      <c r="R19" s="20" t="n">
        <v>1.75818251</v>
      </c>
    </row>
    <row r="20" spans="1:18">
      <c r="A20" s="15" t="s">
        <v>362</v>
      </c>
      <c r="B20" s="17" t="n">
        <v>1741</v>
      </c>
      <c r="C20" s="18">
        <f>(1528.0/B20*100)</f>
        <v/>
      </c>
      <c r="D20" s="19" t="n">
        <v>213</v>
      </c>
      <c r="E20" s="18" t="n">
        <v>64.92613052</v>
      </c>
      <c r="F20" s="20" t="n">
        <v>3.42778525</v>
      </c>
      <c r="G20" s="18" t="n">
        <v>26.84935952</v>
      </c>
      <c r="H20" s="20" t="n">
        <v>3.04142738</v>
      </c>
      <c r="I20" s="18" t="s">
        <v>349</v>
      </c>
      <c r="J20" s="20" t="s">
        <v>349</v>
      </c>
      <c r="K20" s="18" t="n">
        <v>0</v>
      </c>
      <c r="L20" s="20" t="n">
        <v>0</v>
      </c>
      <c r="M20" s="18" t="n">
        <v>0</v>
      </c>
      <c r="N20" s="20" t="n">
        <v>0</v>
      </c>
      <c r="O20" s="18" t="n">
        <v>0</v>
      </c>
      <c r="P20" s="20" t="n">
        <v>0</v>
      </c>
      <c r="Q20" s="18" t="n">
        <v>8.224509960000001</v>
      </c>
      <c r="R20" s="20" t="n">
        <v>1.91151084</v>
      </c>
    </row>
    <row r="21" spans="1:18">
      <c r="A21" s="15" t="s">
        <v>363</v>
      </c>
      <c r="B21" s="17" t="n">
        <v>2833</v>
      </c>
      <c r="C21" s="18">
        <f>(2376.0/B21*100)</f>
        <v/>
      </c>
      <c r="D21" s="19" t="n">
        <v>457</v>
      </c>
      <c r="E21" s="18" t="n">
        <v>73.58740041</v>
      </c>
      <c r="F21" s="20" t="n">
        <v>1.81990688</v>
      </c>
      <c r="G21" s="18" t="n">
        <v>19.45034091</v>
      </c>
      <c r="H21" s="20" t="n">
        <v>1.56949195</v>
      </c>
      <c r="I21" s="18" t="s">
        <v>349</v>
      </c>
      <c r="J21" s="20" t="s">
        <v>349</v>
      </c>
      <c r="K21" s="18" t="n">
        <v>0</v>
      </c>
      <c r="L21" s="20" t="n">
        <v>0</v>
      </c>
      <c r="M21" s="18" t="n">
        <v>0</v>
      </c>
      <c r="N21" s="20" t="n">
        <v>0</v>
      </c>
      <c r="O21" s="18" t="n">
        <v>0</v>
      </c>
      <c r="P21" s="20" t="n">
        <v>0</v>
      </c>
      <c r="Q21" s="18" t="n">
        <v>6.96225868</v>
      </c>
      <c r="R21" s="20" t="n">
        <v>1.09395407</v>
      </c>
    </row>
    <row r="22" spans="1:18">
      <c r="A22" s="15" t="s">
        <v>364</v>
      </c>
      <c r="B22" s="17" t="n">
        <v>3667</v>
      </c>
      <c r="C22" s="18">
        <f>(3186.0/B22*100)</f>
        <v/>
      </c>
      <c r="D22" s="19" t="n">
        <v>481</v>
      </c>
      <c r="E22" s="18" t="n">
        <v>62.62351915</v>
      </c>
      <c r="F22" s="20" t="n">
        <v>2.69348871</v>
      </c>
      <c r="G22" s="18" t="n">
        <v>28.1039929</v>
      </c>
      <c r="H22" s="20" t="n">
        <v>2.23888291</v>
      </c>
      <c r="I22" s="18" t="s">
        <v>349</v>
      </c>
      <c r="J22" s="20" t="s">
        <v>349</v>
      </c>
      <c r="K22" s="18" t="n">
        <v>0.27996656</v>
      </c>
      <c r="L22" s="20" t="n">
        <v>0.27779968</v>
      </c>
      <c r="M22" s="18" t="n">
        <v>0</v>
      </c>
      <c r="N22" s="20" t="n">
        <v>0</v>
      </c>
      <c r="O22" s="18" t="n">
        <v>0</v>
      </c>
      <c r="P22" s="20" t="n">
        <v>0</v>
      </c>
      <c r="Q22" s="18" t="n">
        <v>8.992521399999999</v>
      </c>
      <c r="R22" s="20" t="n">
        <v>1.33816259</v>
      </c>
    </row>
    <row r="23" spans="1:18">
      <c r="A23" s="15" t="s">
        <v>365</v>
      </c>
      <c r="B23" s="17" t="n">
        <v>5792</v>
      </c>
      <c r="C23" s="18">
        <f>(5049.0/B23*100)</f>
        <v/>
      </c>
      <c r="D23" s="19" t="n">
        <v>743</v>
      </c>
      <c r="E23" s="18" t="n">
        <v>63.64603636</v>
      </c>
      <c r="F23" s="20" t="n">
        <v>2.50263489</v>
      </c>
      <c r="G23" s="18" t="n">
        <v>25.25720587</v>
      </c>
      <c r="H23" s="20" t="n">
        <v>1.97449227</v>
      </c>
      <c r="I23" s="18" t="s">
        <v>349</v>
      </c>
      <c r="J23" s="20" t="s">
        <v>349</v>
      </c>
      <c r="K23" s="18" t="n">
        <v>0</v>
      </c>
      <c r="L23" s="20" t="n">
        <v>0</v>
      </c>
      <c r="M23" s="18" t="n">
        <v>0</v>
      </c>
      <c r="N23" s="20" t="n">
        <v>0</v>
      </c>
      <c r="O23" s="18" t="n">
        <v>0</v>
      </c>
      <c r="P23" s="20" t="n">
        <v>0</v>
      </c>
      <c r="Q23" s="18" t="n">
        <v>11.09675778</v>
      </c>
      <c r="R23" s="20" t="n">
        <v>1.83868121</v>
      </c>
    </row>
    <row r="24" spans="1:18">
      <c r="A24" s="15" t="s">
        <v>366</v>
      </c>
      <c r="B24" s="17" t="n">
        <v>3309</v>
      </c>
      <c r="C24" s="18">
        <f>(2903.0/B24*100)</f>
        <v/>
      </c>
      <c r="D24" s="19" t="n">
        <v>406</v>
      </c>
      <c r="E24" s="18" t="n">
        <v>44.97590592</v>
      </c>
      <c r="F24" s="20" t="n">
        <v>2.3265453</v>
      </c>
      <c r="G24" s="18" t="n">
        <v>46.80119826</v>
      </c>
      <c r="H24" s="20" t="n">
        <v>2.50785576</v>
      </c>
      <c r="I24" s="18" t="s">
        <v>349</v>
      </c>
      <c r="J24" s="20" t="s">
        <v>349</v>
      </c>
      <c r="K24" s="18" t="n">
        <v>0</v>
      </c>
      <c r="L24" s="20" t="n">
        <v>0</v>
      </c>
      <c r="M24" s="18" t="n">
        <v>0</v>
      </c>
      <c r="N24" s="20" t="n">
        <v>0</v>
      </c>
      <c r="O24" s="18" t="n">
        <v>0</v>
      </c>
      <c r="P24" s="20" t="n">
        <v>0</v>
      </c>
      <c r="Q24" s="18" t="n">
        <v>8.22289582</v>
      </c>
      <c r="R24" s="20" t="n">
        <v>1.62886487</v>
      </c>
    </row>
    <row r="25" spans="1:18">
      <c r="A25" s="15" t="s">
        <v>367</v>
      </c>
      <c r="B25" s="17" t="n">
        <v>2669</v>
      </c>
      <c r="C25" s="18">
        <f>(2343.0/B25*100)</f>
        <v/>
      </c>
      <c r="D25" s="19" t="n">
        <v>326</v>
      </c>
      <c r="E25" s="18" t="n">
        <v>56.22878935</v>
      </c>
      <c r="F25" s="20" t="n">
        <v>2.64407108</v>
      </c>
      <c r="G25" s="18" t="n">
        <v>36.85160926</v>
      </c>
      <c r="H25" s="20" t="n">
        <v>2.43422084</v>
      </c>
      <c r="I25" s="18" t="s">
        <v>349</v>
      </c>
      <c r="J25" s="20" t="s">
        <v>349</v>
      </c>
      <c r="K25" s="18" t="n">
        <v>0.58672406</v>
      </c>
      <c r="L25" s="20" t="n">
        <v>0.49847186</v>
      </c>
      <c r="M25" s="18" t="n">
        <v>0</v>
      </c>
      <c r="N25" s="20" t="n">
        <v>0</v>
      </c>
      <c r="O25" s="18" t="n">
        <v>0</v>
      </c>
      <c r="P25" s="20" t="n">
        <v>0</v>
      </c>
      <c r="Q25" s="18" t="n">
        <v>6.33287734</v>
      </c>
      <c r="R25" s="20" t="n">
        <v>1.29324388</v>
      </c>
    </row>
    <row r="26" spans="1:18">
      <c r="A26" s="15" t="s">
        <v>368</v>
      </c>
      <c r="B26" s="17" t="n">
        <v>2419</v>
      </c>
      <c r="C26" s="18">
        <f>(2130.0/B26*100)</f>
        <v/>
      </c>
      <c r="D26" s="19" t="n">
        <v>289</v>
      </c>
      <c r="E26" s="18" t="n">
        <v>65.15899638</v>
      </c>
      <c r="F26" s="20" t="n">
        <v>3.24080824</v>
      </c>
      <c r="G26" s="18" t="n">
        <v>26.52665354</v>
      </c>
      <c r="H26" s="20" t="n">
        <v>2.99353763</v>
      </c>
      <c r="I26" s="18" t="s">
        <v>349</v>
      </c>
      <c r="J26" s="20" t="s">
        <v>349</v>
      </c>
      <c r="K26" s="18" t="n">
        <v>0.25971371</v>
      </c>
      <c r="L26" s="20" t="n">
        <v>0.26308117</v>
      </c>
      <c r="M26" s="18" t="n">
        <v>0</v>
      </c>
      <c r="N26" s="20" t="n">
        <v>0</v>
      </c>
      <c r="O26" s="18" t="n">
        <v>0</v>
      </c>
      <c r="P26" s="20" t="n">
        <v>0</v>
      </c>
      <c r="Q26" s="18" t="n">
        <v>8.05463636</v>
      </c>
      <c r="R26" s="20" t="n">
        <v>1.86582231</v>
      </c>
    </row>
    <row r="27" spans="1:18">
      <c r="A27" s="15" t="s">
        <v>369</v>
      </c>
      <c r="B27" s="17" t="n">
        <v>2683</v>
      </c>
      <c r="C27" s="18">
        <f>(2345.0/B27*100)</f>
        <v/>
      </c>
      <c r="D27" s="19" t="n">
        <v>338</v>
      </c>
      <c r="E27" s="18" t="n">
        <v>64.99548086999999</v>
      </c>
      <c r="F27" s="20" t="n">
        <v>2.66000884</v>
      </c>
      <c r="G27" s="18" t="n">
        <v>27.84113644</v>
      </c>
      <c r="H27" s="20" t="n">
        <v>2.5859227</v>
      </c>
      <c r="I27" s="18" t="s">
        <v>349</v>
      </c>
      <c r="J27" s="20" t="s">
        <v>349</v>
      </c>
      <c r="K27" s="18" t="n">
        <v>0</v>
      </c>
      <c r="L27" s="20" t="n">
        <v>0</v>
      </c>
      <c r="M27" s="18" t="n">
        <v>0</v>
      </c>
      <c r="N27" s="20" t="n">
        <v>0</v>
      </c>
      <c r="O27" s="18" t="n">
        <v>0</v>
      </c>
      <c r="P27" s="20" t="n">
        <v>0</v>
      </c>
      <c r="Q27" s="18" t="n">
        <v>7.16338269</v>
      </c>
      <c r="R27" s="20" t="n">
        <v>1.43881403</v>
      </c>
    </row>
    <row r="28" spans="1:18">
      <c r="A28" s="15" t="s">
        <v>370</v>
      </c>
      <c r="B28" s="17" t="n">
        <v>3803</v>
      </c>
      <c r="C28" s="18">
        <f>(3341.0/B28*100)</f>
        <v/>
      </c>
      <c r="D28" s="19" t="n">
        <v>462</v>
      </c>
      <c r="E28" s="18" t="n">
        <v>88.4294532</v>
      </c>
      <c r="F28" s="20" t="n">
        <v>1.76560571</v>
      </c>
      <c r="G28" s="18" t="n">
        <v>6.57794332</v>
      </c>
      <c r="H28" s="20" t="n">
        <v>1.2221854</v>
      </c>
      <c r="I28" s="18" t="s">
        <v>349</v>
      </c>
      <c r="J28" s="20" t="s">
        <v>349</v>
      </c>
      <c r="K28" s="18" t="n">
        <v>0</v>
      </c>
      <c r="L28" s="20" t="n">
        <v>0</v>
      </c>
      <c r="M28" s="18" t="n">
        <v>0</v>
      </c>
      <c r="N28" s="20" t="n">
        <v>0</v>
      </c>
      <c r="O28" s="18" t="n">
        <v>0</v>
      </c>
      <c r="P28" s="20" t="n">
        <v>0</v>
      </c>
      <c r="Q28" s="18" t="n">
        <v>4.99260349</v>
      </c>
      <c r="R28" s="20" t="n">
        <v>1.39896082</v>
      </c>
    </row>
    <row r="29" spans="1:18">
      <c r="A29" s="15" t="s">
        <v>371</v>
      </c>
      <c r="B29" s="17" t="n">
        <v>2700</v>
      </c>
      <c r="C29" s="18">
        <f>(2322.0/B29*100)</f>
        <v/>
      </c>
      <c r="D29" s="19" t="n">
        <v>378</v>
      </c>
      <c r="E29" s="18" t="n">
        <v>59.33430591</v>
      </c>
      <c r="F29" s="20" t="n">
        <v>2.65090757</v>
      </c>
      <c r="G29" s="18" t="n">
        <v>35.42650981</v>
      </c>
      <c r="H29" s="20" t="n">
        <v>2.71602425</v>
      </c>
      <c r="I29" s="18" t="s">
        <v>349</v>
      </c>
      <c r="J29" s="20" t="s">
        <v>349</v>
      </c>
      <c r="K29" s="18" t="n">
        <v>0.83141121</v>
      </c>
      <c r="L29" s="20" t="n">
        <v>0.81361557</v>
      </c>
      <c r="M29" s="18" t="n">
        <v>0</v>
      </c>
      <c r="N29" s="20" t="n">
        <v>0</v>
      </c>
      <c r="O29" s="18" t="n">
        <v>0</v>
      </c>
      <c r="P29" s="20" t="n">
        <v>0</v>
      </c>
      <c r="Q29" s="18" t="n">
        <v>4.40777307</v>
      </c>
      <c r="R29" s="20" t="n">
        <v>1.20073947</v>
      </c>
    </row>
    <row r="30" spans="1:18">
      <c r="A30" s="15" t="s">
        <v>372</v>
      </c>
      <c r="B30" s="17" t="n">
        <v>2257</v>
      </c>
      <c r="C30" s="18">
        <f>(1954.0/B30*100)</f>
        <v/>
      </c>
      <c r="D30" s="19" t="n">
        <v>303</v>
      </c>
      <c r="E30" s="18" t="n">
        <v>63.72819161</v>
      </c>
      <c r="F30" s="20" t="n">
        <v>3.21493658</v>
      </c>
      <c r="G30" s="18" t="n">
        <v>26.29878842</v>
      </c>
      <c r="H30" s="20" t="n">
        <v>2.83748103</v>
      </c>
      <c r="I30" s="18" t="s">
        <v>349</v>
      </c>
      <c r="J30" s="20" t="s">
        <v>349</v>
      </c>
      <c r="K30" s="18" t="n">
        <v>0.30180688</v>
      </c>
      <c r="L30" s="20" t="n">
        <v>0.3073833</v>
      </c>
      <c r="M30" s="18" t="n">
        <v>0</v>
      </c>
      <c r="N30" s="20" t="n">
        <v>0</v>
      </c>
      <c r="O30" s="18" t="n">
        <v>0</v>
      </c>
      <c r="P30" s="20" t="n">
        <v>0</v>
      </c>
      <c r="Q30" s="18" t="n">
        <v>9.67121309</v>
      </c>
      <c r="R30" s="20" t="n">
        <v>1.83157117</v>
      </c>
    </row>
    <row r="31" spans="1:18">
      <c r="A31" s="15" t="s">
        <v>373</v>
      </c>
      <c r="B31" s="17" t="n">
        <v>2706</v>
      </c>
      <c r="C31" s="18">
        <f>(2387.0/B31*100)</f>
        <v/>
      </c>
      <c r="D31" s="19" t="n">
        <v>319</v>
      </c>
      <c r="E31" s="18" t="n">
        <v>63.35601211</v>
      </c>
      <c r="F31" s="20" t="n">
        <v>2.53138089</v>
      </c>
      <c r="G31" s="18" t="n">
        <v>25.09890046</v>
      </c>
      <c r="H31" s="20" t="n">
        <v>2.41469787</v>
      </c>
      <c r="I31" s="18" t="s">
        <v>349</v>
      </c>
      <c r="J31" s="20" t="s">
        <v>349</v>
      </c>
      <c r="K31" s="18" t="n">
        <v>0.65273473</v>
      </c>
      <c r="L31" s="20" t="n">
        <v>0.46294586</v>
      </c>
      <c r="M31" s="18" t="n">
        <v>0</v>
      </c>
      <c r="N31" s="20" t="n">
        <v>0</v>
      </c>
      <c r="O31" s="18" t="n">
        <v>0</v>
      </c>
      <c r="P31" s="20" t="n">
        <v>0</v>
      </c>
      <c r="Q31" s="18" t="n">
        <v>10.8923527</v>
      </c>
      <c r="R31" s="20" t="n">
        <v>1.62711538</v>
      </c>
    </row>
    <row r="32" spans="1:18">
      <c r="A32" s="15" t="s">
        <v>374</v>
      </c>
      <c r="B32" s="17" t="n">
        <v>2209</v>
      </c>
      <c r="C32" s="18">
        <f>(1846.0/B32*100)</f>
        <v/>
      </c>
      <c r="D32" s="19" t="n">
        <v>363</v>
      </c>
      <c r="E32" s="18" t="n">
        <v>63.16419681</v>
      </c>
      <c r="F32" s="20" t="n">
        <v>2.62192473</v>
      </c>
      <c r="G32" s="18" t="n">
        <v>30.07598596</v>
      </c>
      <c r="H32" s="20" t="n">
        <v>2.44469096</v>
      </c>
      <c r="I32" s="18" t="s">
        <v>349</v>
      </c>
      <c r="J32" s="20" t="s">
        <v>349</v>
      </c>
      <c r="K32" s="18" t="n">
        <v>0</v>
      </c>
      <c r="L32" s="20" t="n">
        <v>0</v>
      </c>
      <c r="M32" s="18" t="n">
        <v>0</v>
      </c>
      <c r="N32" s="20" t="n">
        <v>0</v>
      </c>
      <c r="O32" s="18" t="n">
        <v>0</v>
      </c>
      <c r="P32" s="20" t="n">
        <v>0</v>
      </c>
      <c r="Q32" s="18" t="n">
        <v>6.75981722</v>
      </c>
      <c r="R32" s="20" t="n">
        <v>1.35542608</v>
      </c>
    </row>
    <row r="33" spans="1:18">
      <c r="A33" s="15" t="s">
        <v>375</v>
      </c>
      <c r="B33" s="17" t="n">
        <v>3651</v>
      </c>
      <c r="C33" s="18">
        <f>(3215.0/B33*100)</f>
        <v/>
      </c>
      <c r="D33" s="19" t="n">
        <v>436</v>
      </c>
      <c r="E33" s="18" t="n">
        <v>68.38025971</v>
      </c>
      <c r="F33" s="20" t="n">
        <v>2.97228702</v>
      </c>
      <c r="G33" s="18" t="n">
        <v>23.04388609</v>
      </c>
      <c r="H33" s="20" t="n">
        <v>2.5835227</v>
      </c>
      <c r="I33" s="18" t="s">
        <v>349</v>
      </c>
      <c r="J33" s="20" t="s">
        <v>349</v>
      </c>
      <c r="K33" s="18" t="n">
        <v>0.33549931</v>
      </c>
      <c r="L33" s="20" t="n">
        <v>0.34890133</v>
      </c>
      <c r="M33" s="18" t="n">
        <v>0</v>
      </c>
      <c r="N33" s="20" t="n">
        <v>0</v>
      </c>
      <c r="O33" s="18" t="n">
        <v>0</v>
      </c>
      <c r="P33" s="20" t="n">
        <v>0</v>
      </c>
      <c r="Q33" s="18" t="n">
        <v>8.2403549</v>
      </c>
      <c r="R33" s="20" t="n">
        <v>1.66530472</v>
      </c>
    </row>
    <row r="34" spans="1:18">
      <c r="A34" s="15" t="s">
        <v>376</v>
      </c>
      <c r="B34" s="17" t="n">
        <v>3035</v>
      </c>
      <c r="C34" s="18">
        <f>(2592.0/B34*100)</f>
        <v/>
      </c>
      <c r="D34" s="19" t="n">
        <v>443</v>
      </c>
      <c r="E34" s="18" t="n">
        <v>69.37726852999999</v>
      </c>
      <c r="F34" s="20" t="n">
        <v>2.61697137</v>
      </c>
      <c r="G34" s="18" t="n">
        <v>22.70596027</v>
      </c>
      <c r="H34" s="20" t="n">
        <v>2.24606257</v>
      </c>
      <c r="I34" s="18" t="s">
        <v>349</v>
      </c>
      <c r="J34" s="20" t="s">
        <v>349</v>
      </c>
      <c r="K34" s="18" t="n">
        <v>0.42721305</v>
      </c>
      <c r="L34" s="20" t="n">
        <v>0.31616046</v>
      </c>
      <c r="M34" s="18" t="n">
        <v>0</v>
      </c>
      <c r="N34" s="20" t="n">
        <v>0</v>
      </c>
      <c r="O34" s="18" t="n">
        <v>0</v>
      </c>
      <c r="P34" s="20" t="n">
        <v>0</v>
      </c>
      <c r="Q34" s="18" t="n">
        <v>7.48955815</v>
      </c>
      <c r="R34" s="20" t="n">
        <v>1.47195102</v>
      </c>
    </row>
    <row r="35" spans="1:18">
      <c r="A35" s="15" t="s">
        <v>377</v>
      </c>
      <c r="B35" s="17" t="n">
        <v>2901</v>
      </c>
      <c r="C35" s="18">
        <f>(2528.0/B35*100)</f>
        <v/>
      </c>
      <c r="D35" s="19" t="n">
        <v>373</v>
      </c>
      <c r="E35" s="18" t="n">
        <v>57.82403562</v>
      </c>
      <c r="F35" s="20" t="n">
        <v>3.1061087</v>
      </c>
      <c r="G35" s="18" t="n">
        <v>32.44559327</v>
      </c>
      <c r="H35" s="20" t="n">
        <v>2.72515786</v>
      </c>
      <c r="I35" s="18" t="s">
        <v>349</v>
      </c>
      <c r="J35" s="20" t="s">
        <v>349</v>
      </c>
      <c r="K35" s="18" t="n">
        <v>0</v>
      </c>
      <c r="L35" s="20" t="n">
        <v>0</v>
      </c>
      <c r="M35" s="18" t="n">
        <v>0</v>
      </c>
      <c r="N35" s="20" t="n">
        <v>0</v>
      </c>
      <c r="O35" s="18" t="n">
        <v>0</v>
      </c>
      <c r="P35" s="20" t="n">
        <v>0</v>
      </c>
      <c r="Q35" s="18" t="n">
        <v>9.73037111</v>
      </c>
      <c r="R35" s="20" t="n">
        <v>1.91912836</v>
      </c>
    </row>
    <row r="36" spans="1:18">
      <c r="A36" s="15" t="s">
        <v>378</v>
      </c>
      <c r="B36" s="17" t="n">
        <v>3404</v>
      </c>
      <c r="C36" s="18">
        <f>(2957.0/B36*100)</f>
        <v/>
      </c>
      <c r="D36" s="19" t="n">
        <v>447</v>
      </c>
      <c r="E36" s="18" t="n">
        <v>68.35632465</v>
      </c>
      <c r="F36" s="20" t="n">
        <v>2.40287735</v>
      </c>
      <c r="G36" s="18" t="n">
        <v>21.67729011</v>
      </c>
      <c r="H36" s="20" t="n">
        <v>2.20561369</v>
      </c>
      <c r="I36" s="18" t="s">
        <v>349</v>
      </c>
      <c r="J36" s="20" t="s">
        <v>349</v>
      </c>
      <c r="K36" s="18" t="n">
        <v>0</v>
      </c>
      <c r="L36" s="20" t="n">
        <v>0</v>
      </c>
      <c r="M36" s="18" t="n">
        <v>0</v>
      </c>
      <c r="N36" s="20" t="n">
        <v>0</v>
      </c>
      <c r="O36" s="18" t="n">
        <v>0</v>
      </c>
      <c r="P36" s="20" t="n">
        <v>0</v>
      </c>
      <c r="Q36" s="18" t="n">
        <v>9.966385239999999</v>
      </c>
      <c r="R36" s="20" t="n">
        <v>1.37499408</v>
      </c>
    </row>
    <row r="37" spans="1:18">
      <c r="A37" s="15" t="s">
        <v>379</v>
      </c>
      <c r="B37" s="17" t="n">
        <v>2731</v>
      </c>
      <c r="C37" s="18">
        <f>(2394.0/B37*100)</f>
        <v/>
      </c>
      <c r="D37" s="19" t="n">
        <v>337</v>
      </c>
      <c r="E37" s="18" t="n">
        <v>65.49471264</v>
      </c>
      <c r="F37" s="20" t="n">
        <v>2.76096877</v>
      </c>
      <c r="G37" s="18" t="n">
        <v>23.69753503</v>
      </c>
      <c r="H37" s="20" t="n">
        <v>2.44625437</v>
      </c>
      <c r="I37" s="18" t="s">
        <v>349</v>
      </c>
      <c r="J37" s="20" t="s">
        <v>349</v>
      </c>
      <c r="K37" s="18" t="n">
        <v>0.28823856</v>
      </c>
      <c r="L37" s="20" t="n">
        <v>0.28274802</v>
      </c>
      <c r="M37" s="18" t="n">
        <v>0</v>
      </c>
      <c r="N37" s="20" t="n">
        <v>0</v>
      </c>
      <c r="O37" s="18" t="n">
        <v>0</v>
      </c>
      <c r="P37" s="20" t="n">
        <v>0</v>
      </c>
      <c r="Q37" s="18" t="n">
        <v>10.51951377</v>
      </c>
      <c r="R37" s="20" t="n">
        <v>1.66594821</v>
      </c>
    </row>
    <row r="38" spans="1:18">
      <c r="A38" s="15" t="s">
        <v>380</v>
      </c>
      <c r="B38" s="17" t="n">
        <v>2807</v>
      </c>
      <c r="C38" s="18">
        <f>(2349.0/B38*100)</f>
        <v/>
      </c>
      <c r="D38" s="19" t="n">
        <v>458</v>
      </c>
      <c r="E38" s="18" t="n">
        <v>50.68674108</v>
      </c>
      <c r="F38" s="20" t="n">
        <v>2.75184846</v>
      </c>
      <c r="G38" s="18" t="n">
        <v>39.94877558</v>
      </c>
      <c r="H38" s="20" t="n">
        <v>2.8310791</v>
      </c>
      <c r="I38" s="18" t="s">
        <v>349</v>
      </c>
      <c r="J38" s="20" t="s">
        <v>349</v>
      </c>
      <c r="K38" s="18" t="n">
        <v>0</v>
      </c>
      <c r="L38" s="20" t="n">
        <v>0</v>
      </c>
      <c r="M38" s="18" t="n">
        <v>0</v>
      </c>
      <c r="N38" s="20" t="n">
        <v>0</v>
      </c>
      <c r="O38" s="18" t="n">
        <v>0</v>
      </c>
      <c r="P38" s="20" t="n">
        <v>0</v>
      </c>
      <c r="Q38" s="18" t="n">
        <v>9.36448334</v>
      </c>
      <c r="R38" s="20" t="n">
        <v>1.50548628</v>
      </c>
    </row>
    <row r="39" spans="1:18">
      <c r="A39" s="15" t="s">
        <v>381</v>
      </c>
      <c r="B39" s="17" t="n">
        <v>2938</v>
      </c>
      <c r="C39" s="18">
        <f>(2583.0/B39*100)</f>
        <v/>
      </c>
      <c r="D39" s="19" t="n">
        <v>355</v>
      </c>
      <c r="E39" s="18" t="n">
        <v>81.94744214000001</v>
      </c>
      <c r="F39" s="20" t="n">
        <v>1.83160339</v>
      </c>
      <c r="G39" s="18" t="n">
        <v>8.178595380000001</v>
      </c>
      <c r="H39" s="20" t="n">
        <v>1.24986799</v>
      </c>
      <c r="I39" s="18" t="s">
        <v>349</v>
      </c>
      <c r="J39" s="20" t="s">
        <v>349</v>
      </c>
      <c r="K39" s="18" t="n">
        <v>0</v>
      </c>
      <c r="L39" s="20" t="n">
        <v>0</v>
      </c>
      <c r="M39" s="18" t="n">
        <v>0</v>
      </c>
      <c r="N39" s="20" t="n">
        <v>0</v>
      </c>
      <c r="O39" s="18" t="n">
        <v>0</v>
      </c>
      <c r="P39" s="20" t="n">
        <v>0</v>
      </c>
      <c r="Q39" s="18" t="n">
        <v>9.87396249</v>
      </c>
      <c r="R39" s="20" t="n">
        <v>1.57907876</v>
      </c>
    </row>
    <row r="40" spans="1:18">
      <c r="A40" s="15" t="s">
        <v>382</v>
      </c>
      <c r="B40" s="17" t="n">
        <v>6922</v>
      </c>
      <c r="C40" s="18">
        <f>(6087.0/B40*100)</f>
        <v/>
      </c>
      <c r="D40" s="19" t="n">
        <v>835</v>
      </c>
      <c r="E40" s="18" t="n">
        <v>67.16128055999999</v>
      </c>
      <c r="F40" s="20" t="n">
        <v>2.72248776</v>
      </c>
      <c r="G40" s="18" t="n">
        <v>22.60516192</v>
      </c>
      <c r="H40" s="20" t="n">
        <v>2.42708341</v>
      </c>
      <c r="I40" s="18" t="s">
        <v>349</v>
      </c>
      <c r="J40" s="20" t="s">
        <v>349</v>
      </c>
      <c r="K40" s="18" t="n">
        <v>0.24603287</v>
      </c>
      <c r="L40" s="20" t="n">
        <v>0.30965792</v>
      </c>
      <c r="M40" s="18" t="n">
        <v>0</v>
      </c>
      <c r="N40" s="20" t="n">
        <v>0</v>
      </c>
      <c r="O40" s="18" t="n">
        <v>0</v>
      </c>
      <c r="P40" s="20" t="n">
        <v>0</v>
      </c>
      <c r="Q40" s="18" t="n">
        <v>9.98752464</v>
      </c>
      <c r="R40" s="20" t="n">
        <v>1.60565518</v>
      </c>
    </row>
    <row r="41" spans="1:18">
      <c r="A41" s="15" t="s">
        <v>383</v>
      </c>
      <c r="B41" s="17" t="n">
        <v>2854</v>
      </c>
      <c r="C41" s="18">
        <f>(2483.0/B41*100)</f>
        <v/>
      </c>
      <c r="D41" s="19" t="n">
        <v>371</v>
      </c>
      <c r="E41" s="18" t="n">
        <v>75.82714871</v>
      </c>
      <c r="F41" s="20" t="n">
        <v>2.69134318</v>
      </c>
      <c r="G41" s="18" t="n">
        <v>22.80408831</v>
      </c>
      <c r="H41" s="20" t="n">
        <v>2.56531507</v>
      </c>
      <c r="I41" s="18" t="s">
        <v>349</v>
      </c>
      <c r="J41" s="20" t="s">
        <v>349</v>
      </c>
      <c r="K41" s="18" t="n">
        <v>0</v>
      </c>
      <c r="L41" s="20" t="n">
        <v>0</v>
      </c>
      <c r="M41" s="18" t="n">
        <v>0</v>
      </c>
      <c r="N41" s="20" t="n">
        <v>0</v>
      </c>
      <c r="O41" s="18" t="n">
        <v>0</v>
      </c>
      <c r="P41" s="20" t="n">
        <v>0</v>
      </c>
      <c r="Q41" s="18" t="n">
        <v>1.36876298</v>
      </c>
      <c r="R41" s="20" t="n">
        <v>0.57960991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(10642.0/B46*100)</f>
        <v/>
      </c>
      <c r="D46" s="19" t="n">
        <v>1431</v>
      </c>
      <c r="E46" s="18" t="n">
        <v>81.13748895000001</v>
      </c>
      <c r="F46" s="20" t="n">
        <v>1.53819523</v>
      </c>
      <c r="G46" s="18" t="n">
        <v>6.09339871</v>
      </c>
      <c r="H46" s="20" t="n">
        <v>0.93286037</v>
      </c>
      <c r="I46" s="18" t="s">
        <v>349</v>
      </c>
      <c r="J46" s="20" t="s">
        <v>349</v>
      </c>
      <c r="K46" s="18" t="n">
        <v>0.5259904</v>
      </c>
      <c r="L46" s="20" t="n">
        <v>0.22743533</v>
      </c>
      <c r="M46" s="18" t="n">
        <v>0</v>
      </c>
      <c r="N46" s="20" t="n">
        <v>0</v>
      </c>
      <c r="O46" s="18" t="n">
        <v>0</v>
      </c>
      <c r="P46" s="20" t="n">
        <v>0</v>
      </c>
      <c r="Q46" s="18" t="n">
        <v>12.24312194</v>
      </c>
      <c r="R46" s="20" t="n">
        <v>1.20012237</v>
      </c>
    </row>
    <row r="47" spans="1:18">
      <c r="A47" s="15" t="s">
        <v>389</v>
      </c>
      <c r="B47" s="17" t="n">
        <v>2823</v>
      </c>
      <c r="C47" s="18">
        <f>(2472.0/B47*100)</f>
        <v/>
      </c>
      <c r="D47" s="19" t="n">
        <v>351</v>
      </c>
      <c r="E47" s="18" t="n">
        <v>72.79199611</v>
      </c>
      <c r="F47" s="20" t="n">
        <v>2.6848213</v>
      </c>
      <c r="G47" s="18" t="n">
        <v>19.69766872</v>
      </c>
      <c r="H47" s="20" t="n">
        <v>2.48489756</v>
      </c>
      <c r="I47" s="18" t="s">
        <v>349</v>
      </c>
      <c r="J47" s="20" t="s">
        <v>349</v>
      </c>
      <c r="K47" s="18" t="n">
        <v>0</v>
      </c>
      <c r="L47" s="20" t="n">
        <v>0</v>
      </c>
      <c r="M47" s="18" t="n">
        <v>0</v>
      </c>
      <c r="N47" s="20" t="n">
        <v>0</v>
      </c>
      <c r="O47" s="18" t="n">
        <v>0</v>
      </c>
      <c r="P47" s="20" t="n">
        <v>0</v>
      </c>
      <c r="Q47" s="18" t="n">
        <v>7.51033516</v>
      </c>
      <c r="R47" s="20" t="n">
        <v>1.5307294</v>
      </c>
    </row>
    <row r="48" spans="1:18">
      <c r="A48" s="15" t="s">
        <v>390</v>
      </c>
      <c r="B48" s="17" t="n">
        <v>4682</v>
      </c>
      <c r="C48" s="18">
        <f>(4107.0/B48*100)</f>
        <v/>
      </c>
      <c r="D48" s="19" t="n">
        <v>575</v>
      </c>
      <c r="E48" s="18" t="n">
        <v>55.04524317</v>
      </c>
      <c r="F48" s="20" t="n">
        <v>3.2811613</v>
      </c>
      <c r="G48" s="18" t="n">
        <v>43.58339889</v>
      </c>
      <c r="H48" s="20" t="n">
        <v>3.25558084</v>
      </c>
      <c r="I48" s="18" t="s">
        <v>349</v>
      </c>
      <c r="J48" s="20" t="s">
        <v>349</v>
      </c>
      <c r="K48" s="18" t="n">
        <v>0.0498353</v>
      </c>
      <c r="L48" s="20" t="n">
        <v>0.04942934</v>
      </c>
      <c r="M48" s="18" t="n">
        <v>0</v>
      </c>
      <c r="N48" s="20" t="n">
        <v>0</v>
      </c>
      <c r="O48" s="18" t="n">
        <v>0</v>
      </c>
      <c r="P48" s="20" t="n">
        <v>0</v>
      </c>
      <c r="Q48" s="18" t="n">
        <v>1.32152264</v>
      </c>
      <c r="R48" s="20" t="n">
        <v>0.65756011</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(5409.0/B50*100)</f>
        <v/>
      </c>
      <c r="D50" s="19" t="n">
        <v>749</v>
      </c>
      <c r="E50" s="18" t="n">
        <v>91.65347405999999</v>
      </c>
      <c r="F50" s="20" t="n">
        <v>1.40921092</v>
      </c>
      <c r="G50" s="18" t="n">
        <v>4.55117049</v>
      </c>
      <c r="H50" s="20" t="n">
        <v>0.98606637</v>
      </c>
      <c r="I50" s="18" t="s">
        <v>349</v>
      </c>
      <c r="J50" s="20" t="s">
        <v>349</v>
      </c>
      <c r="K50" s="18" t="n">
        <v>0.4030385</v>
      </c>
      <c r="L50" s="20" t="n">
        <v>0.3215291</v>
      </c>
      <c r="M50" s="18" t="n">
        <v>0</v>
      </c>
      <c r="N50" s="20" t="n">
        <v>0</v>
      </c>
      <c r="O50" s="18" t="n">
        <v>0</v>
      </c>
      <c r="P50" s="20" t="n">
        <v>0</v>
      </c>
      <c r="Q50" s="18" t="n">
        <v>3.39231695</v>
      </c>
      <c r="R50" s="20" t="n">
        <v>0.8396744900000001</v>
      </c>
    </row>
    <row r="51" spans="1:18">
      <c r="A51" s="15" t="s">
        <v>393</v>
      </c>
      <c r="B51" s="17" t="n">
        <v>3494</v>
      </c>
      <c r="C51" s="18">
        <f>(2784.0/B51*100)</f>
        <v/>
      </c>
      <c r="D51" s="19" t="n">
        <v>710</v>
      </c>
      <c r="E51" s="18" t="n">
        <v>88.94298526999999</v>
      </c>
      <c r="F51" s="20" t="n">
        <v>1.24392025</v>
      </c>
      <c r="G51" s="18" t="n">
        <v>4.83097924</v>
      </c>
      <c r="H51" s="20" t="n">
        <v>0.92365369</v>
      </c>
      <c r="I51" s="18" t="s">
        <v>349</v>
      </c>
      <c r="J51" s="20" t="s">
        <v>349</v>
      </c>
      <c r="K51" s="18" t="n">
        <v>0.3031168</v>
      </c>
      <c r="L51" s="20" t="n">
        <v>0.21708082</v>
      </c>
      <c r="M51" s="18" t="n">
        <v>0</v>
      </c>
      <c r="N51" s="20" t="n">
        <v>0</v>
      </c>
      <c r="O51" s="18" t="n">
        <v>0</v>
      </c>
      <c r="P51" s="20" t="n">
        <v>0</v>
      </c>
      <c r="Q51" s="18" t="n">
        <v>5.92291868</v>
      </c>
      <c r="R51" s="20" t="n">
        <v>0.94829561</v>
      </c>
    </row>
    <row r="52" spans="1:18">
      <c r="A52" s="15" t="s">
        <v>394</v>
      </c>
      <c r="B52" s="17" t="n">
        <v>3013</v>
      </c>
      <c r="C52" s="18">
        <f>(2644.0/B52*100)</f>
        <v/>
      </c>
      <c r="D52" s="19" t="n">
        <v>369</v>
      </c>
      <c r="E52" s="18" t="n">
        <v>65.43985062</v>
      </c>
      <c r="F52" s="20" t="n">
        <v>2.95061171</v>
      </c>
      <c r="G52" s="18" t="n">
        <v>20.61816173</v>
      </c>
      <c r="H52" s="20" t="n">
        <v>2.42839172</v>
      </c>
      <c r="I52" s="18" t="s">
        <v>349</v>
      </c>
      <c r="J52" s="20" t="s">
        <v>349</v>
      </c>
      <c r="K52" s="18" t="n">
        <v>0</v>
      </c>
      <c r="L52" s="20" t="n">
        <v>0</v>
      </c>
      <c r="M52" s="18" t="n">
        <v>0</v>
      </c>
      <c r="N52" s="20" t="n">
        <v>0</v>
      </c>
      <c r="O52" s="18" t="n">
        <v>0</v>
      </c>
      <c r="P52" s="20" t="n">
        <v>0</v>
      </c>
      <c r="Q52" s="18" t="n">
        <v>13.94198764</v>
      </c>
      <c r="R52" s="20" t="n">
        <v>2.01157945</v>
      </c>
    </row>
    <row r="53" spans="1:18">
      <c r="A53" s="15" t="s">
        <v>395</v>
      </c>
      <c r="B53" s="17" t="n">
        <v>2760</v>
      </c>
      <c r="C53" s="18">
        <f>(2409.0/B53*100)</f>
        <v/>
      </c>
      <c r="D53" s="19" t="n">
        <v>351</v>
      </c>
      <c r="E53" s="18" t="n">
        <v>72.75006959</v>
      </c>
      <c r="F53" s="20" t="n">
        <v>2.54870329</v>
      </c>
      <c r="G53" s="18" t="n">
        <v>16.36394878</v>
      </c>
      <c r="H53" s="20" t="n">
        <v>2.00956685</v>
      </c>
      <c r="I53" s="18" t="s">
        <v>349</v>
      </c>
      <c r="J53" s="20" t="s">
        <v>349</v>
      </c>
      <c r="K53" s="18" t="n">
        <v>0</v>
      </c>
      <c r="L53" s="20" t="n">
        <v>0</v>
      </c>
      <c r="M53" s="18" t="n">
        <v>0</v>
      </c>
      <c r="N53" s="20" t="n">
        <v>0</v>
      </c>
      <c r="O53" s="18" t="n">
        <v>0</v>
      </c>
      <c r="P53" s="20" t="n">
        <v>0</v>
      </c>
      <c r="Q53" s="18" t="n">
        <v>10.88598164</v>
      </c>
      <c r="R53" s="20" t="n">
        <v>1.87120111</v>
      </c>
    </row>
    <row r="54" spans="1:18">
      <c r="A54" s="15" t="s">
        <v>396</v>
      </c>
      <c r="B54" s="17" t="n">
        <v>2474</v>
      </c>
      <c r="C54" s="18">
        <f>(2039.0/B54*100)</f>
        <v/>
      </c>
      <c r="D54" s="19" t="n">
        <v>435</v>
      </c>
      <c r="E54" s="18" t="n">
        <v>79.88632923</v>
      </c>
      <c r="F54" s="20" t="n">
        <v>1.98020024</v>
      </c>
      <c r="G54" s="18" t="n">
        <v>1.58042584</v>
      </c>
      <c r="H54" s="20" t="n">
        <v>0.61006417</v>
      </c>
      <c r="I54" s="18" t="s">
        <v>349</v>
      </c>
      <c r="J54" s="20" t="s">
        <v>349</v>
      </c>
      <c r="K54" s="18" t="n">
        <v>5.31245525</v>
      </c>
      <c r="L54" s="20" t="n">
        <v>1.23125003</v>
      </c>
      <c r="M54" s="18" t="n">
        <v>0</v>
      </c>
      <c r="N54" s="20" t="n">
        <v>0</v>
      </c>
      <c r="O54" s="18" t="n">
        <v>0</v>
      </c>
      <c r="P54" s="20" t="n">
        <v>0</v>
      </c>
      <c r="Q54" s="18" t="n">
        <v>13.22078969</v>
      </c>
      <c r="R54" s="20" t="n">
        <v>1.72892105</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(2339.0/B56*100)</f>
        <v/>
      </c>
      <c r="D56" s="19" t="n">
        <v>336</v>
      </c>
      <c r="E56" s="18" t="n">
        <v>58.07648383</v>
      </c>
      <c r="F56" s="20" t="n">
        <v>2.77065707</v>
      </c>
      <c r="G56" s="18" t="n">
        <v>40.85417092</v>
      </c>
      <c r="H56" s="20" t="n">
        <v>2.92335819</v>
      </c>
      <c r="I56" s="18" t="s">
        <v>349</v>
      </c>
      <c r="J56" s="20" t="s">
        <v>349</v>
      </c>
      <c r="K56" s="18" t="n">
        <v>0</v>
      </c>
      <c r="L56" s="20" t="n">
        <v>0</v>
      </c>
      <c r="M56" s="18" t="n">
        <v>0</v>
      </c>
      <c r="N56" s="20" t="n">
        <v>0</v>
      </c>
      <c r="O56" s="18" t="n">
        <v>0</v>
      </c>
      <c r="P56" s="20" t="n">
        <v>0</v>
      </c>
      <c r="Q56" s="18" t="n">
        <v>1.06934524</v>
      </c>
      <c r="R56" s="20" t="n">
        <v>0.66781876</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(2799.0/B61*100)</f>
        <v/>
      </c>
      <c r="D61" s="19" t="n">
        <v>402</v>
      </c>
      <c r="E61" s="18" t="n">
        <v>72.90308526</v>
      </c>
      <c r="F61" s="20" t="n">
        <v>2.27906512</v>
      </c>
      <c r="G61" s="18" t="n">
        <v>22.07455663</v>
      </c>
      <c r="H61" s="20" t="n">
        <v>2.24547937</v>
      </c>
      <c r="I61" s="18" t="s">
        <v>349</v>
      </c>
      <c r="J61" s="20" t="s">
        <v>349</v>
      </c>
      <c r="K61" s="18" t="n">
        <v>0.72120351</v>
      </c>
      <c r="L61" s="20" t="n">
        <v>0.70637302</v>
      </c>
      <c r="M61" s="18" t="n">
        <v>0</v>
      </c>
      <c r="N61" s="20" t="n">
        <v>0</v>
      </c>
      <c r="O61" s="18" t="n">
        <v>0</v>
      </c>
      <c r="P61" s="20" t="n">
        <v>0</v>
      </c>
      <c r="Q61" s="18" t="n">
        <v>4.3011546</v>
      </c>
      <c r="R61" s="20" t="n">
        <v>1.12297115</v>
      </c>
    </row>
    <row r="62" spans="1:18">
      <c r="A62" s="15" t="s">
        <v>404</v>
      </c>
      <c r="B62" s="17" t="n">
        <v>2230</v>
      </c>
      <c r="C62" s="18">
        <f>(1973.0/B62*100)</f>
        <v/>
      </c>
      <c r="D62" s="19" t="n">
        <v>257</v>
      </c>
      <c r="E62" s="18" t="n">
        <v>52.98083913</v>
      </c>
      <c r="F62" s="20" t="n">
        <v>3.1068725</v>
      </c>
      <c r="G62" s="18" t="n">
        <v>46.23539085</v>
      </c>
      <c r="H62" s="20" t="n">
        <v>2.96561746</v>
      </c>
      <c r="I62" s="18" t="s">
        <v>349</v>
      </c>
      <c r="J62" s="20" t="s">
        <v>349</v>
      </c>
      <c r="K62" s="18" t="n">
        <v>0</v>
      </c>
      <c r="L62" s="20" t="n">
        <v>0</v>
      </c>
      <c r="M62" s="18" t="n">
        <v>0</v>
      </c>
      <c r="N62" s="20" t="n">
        <v>0</v>
      </c>
      <c r="O62" s="18" t="n">
        <v>0</v>
      </c>
      <c r="P62" s="20" t="n">
        <v>0</v>
      </c>
      <c r="Q62" s="18" t="n">
        <v>0.78377002</v>
      </c>
      <c r="R62" s="20" t="n">
        <v>0.55325482</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(2437.0/B66*100)</f>
        <v/>
      </c>
      <c r="D66" s="19" t="n">
        <v>334</v>
      </c>
      <c r="E66" s="18" t="n">
        <v>63.68900072</v>
      </c>
      <c r="F66" s="20" t="n">
        <v>2.51086627</v>
      </c>
      <c r="G66" s="18" t="n">
        <v>16.63081605</v>
      </c>
      <c r="H66" s="20" t="n">
        <v>1.81823695</v>
      </c>
      <c r="I66" s="18" t="s">
        <v>349</v>
      </c>
      <c r="J66" s="20" t="s">
        <v>349</v>
      </c>
      <c r="K66" s="18" t="n">
        <v>0.38461633</v>
      </c>
      <c r="L66" s="20" t="n">
        <v>0.38200903</v>
      </c>
      <c r="M66" s="18" t="n">
        <v>0</v>
      </c>
      <c r="N66" s="20" t="n">
        <v>0</v>
      </c>
      <c r="O66" s="18" t="n">
        <v>0</v>
      </c>
      <c r="P66" s="20" t="n">
        <v>0</v>
      </c>
      <c r="Q66" s="18" t="n">
        <v>19.29556689</v>
      </c>
      <c r="R66" s="20" t="n">
        <v>2.24545728</v>
      </c>
    </row>
    <row r="67" spans="1:18">
      <c r="A67" s="15" t="s">
        <v>409</v>
      </c>
      <c r="B67" s="17" t="n">
        <v>3460</v>
      </c>
      <c r="C67" s="18">
        <f>(3035.0/B67*100)</f>
        <v/>
      </c>
      <c r="D67" s="19" t="n">
        <v>425</v>
      </c>
      <c r="E67" s="18" t="n">
        <v>84.99716352999999</v>
      </c>
      <c r="F67" s="20" t="n">
        <v>1.89685422</v>
      </c>
      <c r="G67" s="18" t="n">
        <v>5.71329201</v>
      </c>
      <c r="H67" s="20" t="n">
        <v>1.20732187</v>
      </c>
      <c r="I67" s="18" t="s">
        <v>349</v>
      </c>
      <c r="J67" s="20" t="s">
        <v>349</v>
      </c>
      <c r="K67" s="18" t="n">
        <v>0</v>
      </c>
      <c r="L67" s="20" t="n">
        <v>0</v>
      </c>
      <c r="M67" s="18" t="n">
        <v>0</v>
      </c>
      <c r="N67" s="20" t="n">
        <v>0</v>
      </c>
      <c r="O67" s="18" t="n">
        <v>0</v>
      </c>
      <c r="P67" s="20" t="n">
        <v>0</v>
      </c>
      <c r="Q67" s="18" t="n">
        <v>9.28954446</v>
      </c>
      <c r="R67" s="20" t="n">
        <v>1.53539543</v>
      </c>
    </row>
    <row r="68" spans="1:18">
      <c r="A68" s="15" t="s">
        <v>410</v>
      </c>
      <c r="B68" s="17" t="n">
        <v>6034</v>
      </c>
      <c r="C68" s="18">
        <f>(5040.0/B68*100)</f>
        <v/>
      </c>
      <c r="D68" s="19" t="n">
        <v>994</v>
      </c>
      <c r="E68" s="18" t="n">
        <v>84.05952751</v>
      </c>
      <c r="F68" s="20" t="n">
        <v>1.23915523</v>
      </c>
      <c r="G68" s="18" t="n">
        <v>9.720372340000001</v>
      </c>
      <c r="H68" s="20" t="n">
        <v>0.96506867</v>
      </c>
      <c r="I68" s="18" t="s">
        <v>349</v>
      </c>
      <c r="J68" s="20" t="s">
        <v>349</v>
      </c>
      <c r="K68" s="18" t="n">
        <v>0.19210131</v>
      </c>
      <c r="L68" s="20" t="n">
        <v>0.13554845</v>
      </c>
      <c r="M68" s="18" t="n">
        <v>0</v>
      </c>
      <c r="N68" s="20" t="n">
        <v>0</v>
      </c>
      <c r="O68" s="18" t="n">
        <v>0</v>
      </c>
      <c r="P68" s="20" t="n">
        <v>0</v>
      </c>
      <c r="Q68" s="18" t="n">
        <v>6.02799884</v>
      </c>
      <c r="R68" s="20" t="n">
        <v>0.7646608</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(2749.0/B70*100)</f>
        <v/>
      </c>
      <c r="D70" s="19" t="n">
        <v>358</v>
      </c>
      <c r="E70" s="18" t="n">
        <v>70.69087911</v>
      </c>
      <c r="F70" s="20" t="n">
        <v>2.97671291</v>
      </c>
      <c r="G70" s="18" t="n">
        <v>23.24152006</v>
      </c>
      <c r="H70" s="20" t="n">
        <v>2.8026467</v>
      </c>
      <c r="I70" s="18" t="s">
        <v>349</v>
      </c>
      <c r="J70" s="20" t="s">
        <v>349</v>
      </c>
      <c r="K70" s="18" t="n">
        <v>0.22103249</v>
      </c>
      <c r="L70" s="20" t="n">
        <v>0.21850585</v>
      </c>
      <c r="M70" s="18" t="n">
        <v>0</v>
      </c>
      <c r="N70" s="20" t="n">
        <v>0</v>
      </c>
      <c r="O70" s="18" t="n">
        <v>0</v>
      </c>
      <c r="P70" s="20" t="n">
        <v>0</v>
      </c>
      <c r="Q70" s="18" t="n">
        <v>5.84656834</v>
      </c>
      <c r="R70" s="20" t="n">
        <v>1.16746435</v>
      </c>
    </row>
    <row r="71" spans="1:18">
      <c r="A71" s="15" t="s">
        <v>413</v>
      </c>
      <c r="B71" s="17" t="n">
        <v>2973</v>
      </c>
      <c r="C71" s="18">
        <f>(2594.0/B71*100)</f>
        <v/>
      </c>
      <c r="D71" s="19" t="n">
        <v>379</v>
      </c>
      <c r="E71" s="18" t="n">
        <v>55.34730687</v>
      </c>
      <c r="F71" s="20" t="n">
        <v>3.04559819</v>
      </c>
      <c r="G71" s="18" t="n">
        <v>42.54319865</v>
      </c>
      <c r="H71" s="20" t="n">
        <v>3.09220638</v>
      </c>
      <c r="I71" s="18" t="s">
        <v>349</v>
      </c>
      <c r="J71" s="20" t="s">
        <v>349</v>
      </c>
      <c r="K71" s="18" t="n">
        <v>0.30216956</v>
      </c>
      <c r="L71" s="20" t="n">
        <v>0.30056096</v>
      </c>
      <c r="M71" s="18" t="n">
        <v>0</v>
      </c>
      <c r="N71" s="20" t="n">
        <v>0</v>
      </c>
      <c r="O71" s="18" t="n">
        <v>0</v>
      </c>
      <c r="P71" s="20" t="n">
        <v>0</v>
      </c>
      <c r="Q71" s="18" t="n">
        <v>1.80732492</v>
      </c>
      <c r="R71" s="20" t="n">
        <v>0.74286073</v>
      </c>
    </row>
    <row r="72" spans="1:18">
      <c r="A72" s="15" t="s">
        <v>414</v>
      </c>
      <c r="B72" s="17" t="n">
        <v>3819</v>
      </c>
      <c r="C72" s="18">
        <f>(3329.0/B72*100)</f>
        <v/>
      </c>
      <c r="D72" s="19" t="n">
        <v>490</v>
      </c>
      <c r="E72" s="18" t="n">
        <v>55.93217906</v>
      </c>
      <c r="F72" s="20" t="n">
        <v>2.51173894</v>
      </c>
      <c r="G72" s="18" t="n">
        <v>41.24422064</v>
      </c>
      <c r="H72" s="20" t="n">
        <v>2.4487454</v>
      </c>
      <c r="I72" s="18" t="s">
        <v>349</v>
      </c>
      <c r="J72" s="20" t="s">
        <v>349</v>
      </c>
      <c r="K72" s="18" t="n">
        <v>0.22178018</v>
      </c>
      <c r="L72" s="20" t="n">
        <v>0.22147429</v>
      </c>
      <c r="M72" s="18" t="n">
        <v>0</v>
      </c>
      <c r="N72" s="20" t="n">
        <v>0</v>
      </c>
      <c r="O72" s="18" t="n">
        <v>0</v>
      </c>
      <c r="P72" s="20" t="n">
        <v>0</v>
      </c>
      <c r="Q72" s="18" t="n">
        <v>2.60182012</v>
      </c>
      <c r="R72" s="20" t="n">
        <v>0.74565064</v>
      </c>
    </row>
    <row r="73" spans="1:18">
      <c r="A73" s="15" t="s">
        <v>415</v>
      </c>
      <c r="B73" s="17" t="n">
        <v>4652</v>
      </c>
      <c r="C73" s="18">
        <f>(4085.0/B73*100)</f>
        <v/>
      </c>
      <c r="D73" s="19" t="n">
        <v>567</v>
      </c>
      <c r="E73" s="18" t="n">
        <v>91.95532885999999</v>
      </c>
      <c r="F73" s="20" t="n">
        <v>1.63574129</v>
      </c>
      <c r="G73" s="18" t="n">
        <v>7.04206629</v>
      </c>
      <c r="H73" s="20" t="n">
        <v>1.56617379</v>
      </c>
      <c r="I73" s="18" t="s">
        <v>349</v>
      </c>
      <c r="J73" s="20" t="s">
        <v>349</v>
      </c>
      <c r="K73" s="18" t="n">
        <v>0</v>
      </c>
      <c r="L73" s="20" t="n">
        <v>0</v>
      </c>
      <c r="M73" s="18" t="n">
        <v>0</v>
      </c>
      <c r="N73" s="20" t="n">
        <v>0</v>
      </c>
      <c r="O73" s="18" t="n">
        <v>0</v>
      </c>
      <c r="P73" s="20" t="n">
        <v>0</v>
      </c>
      <c r="Q73" s="18" t="n">
        <v>1.00260486</v>
      </c>
      <c r="R73" s="20" t="n">
        <v>0.4663275</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(2616.0/B75*100)</f>
        <v/>
      </c>
      <c r="D75" s="19" t="n">
        <v>353</v>
      </c>
      <c r="E75" s="18" t="n">
        <v>79.71069879</v>
      </c>
      <c r="F75" s="20" t="n">
        <v>2.43830131</v>
      </c>
      <c r="G75" s="18" t="n">
        <v>4.04403102</v>
      </c>
      <c r="H75" s="20" t="n">
        <v>1.0832009</v>
      </c>
      <c r="I75" s="18" t="s">
        <v>349</v>
      </c>
      <c r="J75" s="20" t="s">
        <v>349</v>
      </c>
      <c r="K75" s="18" t="n">
        <v>1.70823145</v>
      </c>
      <c r="L75" s="20" t="n">
        <v>0.66790417</v>
      </c>
      <c r="M75" s="18" t="n">
        <v>0</v>
      </c>
      <c r="N75" s="20" t="n">
        <v>0</v>
      </c>
      <c r="O75" s="18" t="n">
        <v>0</v>
      </c>
      <c r="P75" s="20" t="n">
        <v>0</v>
      </c>
      <c r="Q75" s="18" t="n">
        <v>14.53703875</v>
      </c>
      <c r="R75" s="20" t="n">
        <v>2.09924492</v>
      </c>
    </row>
    <row r="76" spans="1:18">
      <c r="A76" s="15" t="s">
        <v>418</v>
      </c>
      <c r="B76" s="17" t="n">
        <v>7115</v>
      </c>
      <c r="C76" s="18">
        <f>(6228.0/B76*100)</f>
        <v/>
      </c>
      <c r="D76" s="19" t="n">
        <v>887</v>
      </c>
      <c r="E76" s="18" t="n">
        <v>84.71459563000001</v>
      </c>
      <c r="F76" s="20" t="n">
        <v>1.69871033</v>
      </c>
      <c r="G76" s="18" t="n">
        <v>12.4232377</v>
      </c>
      <c r="H76" s="20" t="n">
        <v>1.58401156</v>
      </c>
      <c r="I76" s="18" t="s">
        <v>349</v>
      </c>
      <c r="J76" s="20" t="s">
        <v>349</v>
      </c>
      <c r="K76" s="18" t="n">
        <v>0</v>
      </c>
      <c r="L76" s="20" t="n">
        <v>0</v>
      </c>
      <c r="M76" s="18" t="n">
        <v>0</v>
      </c>
      <c r="N76" s="20" t="n">
        <v>0</v>
      </c>
      <c r="O76" s="18" t="n">
        <v>0</v>
      </c>
      <c r="P76" s="20" t="n">
        <v>0</v>
      </c>
      <c r="Q76" s="18" t="n">
        <v>2.86216667</v>
      </c>
      <c r="R76" s="20" t="n">
        <v>0.61804236</v>
      </c>
    </row>
    <row r="77" spans="1:18">
      <c r="A77" s="15" t="s">
        <v>419</v>
      </c>
      <c r="B77" s="17" t="n">
        <v>3154</v>
      </c>
      <c r="C77" s="18">
        <f>(2761.0/B77*100)</f>
        <v/>
      </c>
      <c r="D77" s="19" t="n">
        <v>393</v>
      </c>
      <c r="E77" s="18" t="n">
        <v>74.81021858</v>
      </c>
      <c r="F77" s="20" t="n">
        <v>2.1673691</v>
      </c>
      <c r="G77" s="18" t="n">
        <v>11.00607853</v>
      </c>
      <c r="H77" s="20" t="n">
        <v>1.50875173</v>
      </c>
      <c r="I77" s="18" t="s">
        <v>349</v>
      </c>
      <c r="J77" s="20" t="s">
        <v>349</v>
      </c>
      <c r="K77" s="18" t="n">
        <v>0.22674644</v>
      </c>
      <c r="L77" s="20" t="n">
        <v>0.21217139</v>
      </c>
      <c r="M77" s="18" t="n">
        <v>0</v>
      </c>
      <c r="N77" s="20" t="n">
        <v>0</v>
      </c>
      <c r="O77" s="18" t="n">
        <v>0</v>
      </c>
      <c r="P77" s="20" t="n">
        <v>0</v>
      </c>
      <c r="Q77" s="18" t="n">
        <v>13.95695645</v>
      </c>
      <c r="R77" s="20" t="n">
        <v>2.02227022</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(4101.0/B81*100)</f>
        <v/>
      </c>
      <c r="D81" s="19" t="n">
        <v>597</v>
      </c>
      <c r="E81" s="18" t="n">
        <v>87.06301209</v>
      </c>
      <c r="F81" s="20" t="n">
        <v>1.6884194</v>
      </c>
      <c r="G81" s="18" t="n">
        <v>10.20289228</v>
      </c>
      <c r="H81" s="20" t="n">
        <v>1.43825566</v>
      </c>
      <c r="I81" s="18" t="s">
        <v>349</v>
      </c>
      <c r="J81" s="20" t="s">
        <v>349</v>
      </c>
      <c r="K81" s="18" t="n">
        <v>0</v>
      </c>
      <c r="L81" s="20" t="n">
        <v>0</v>
      </c>
      <c r="M81" s="18" t="n">
        <v>0</v>
      </c>
      <c r="N81" s="20" t="n">
        <v>0</v>
      </c>
      <c r="O81" s="18" t="n">
        <v>0</v>
      </c>
      <c r="P81" s="20" t="n">
        <v>0</v>
      </c>
      <c r="Q81" s="18" t="n">
        <v>2.73409563</v>
      </c>
      <c r="R81" s="20" t="n">
        <v>0.8710290000000001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(6279.0/B7*100)</f>
        <v/>
      </c>
      <c r="D7" s="19" t="n">
        <v>884</v>
      </c>
      <c r="E7" s="18" t="n">
        <v>32.39249745</v>
      </c>
      <c r="F7" s="20" t="n">
        <v>1.74918552</v>
      </c>
      <c r="G7" s="18" t="n">
        <v>67.25244504</v>
      </c>
      <c r="H7" s="20" t="n">
        <v>1.73982247</v>
      </c>
      <c r="I7" s="18" t="s">
        <v>349</v>
      </c>
      <c r="J7" s="20" t="s">
        <v>349</v>
      </c>
      <c r="K7" s="18" t="n">
        <v>0.08406829</v>
      </c>
      <c r="L7" s="20" t="n">
        <v>0.08222432</v>
      </c>
      <c r="M7" s="18" t="n">
        <v>0</v>
      </c>
      <c r="N7" s="20" t="n">
        <v>0</v>
      </c>
      <c r="O7" s="18" t="n">
        <v>0</v>
      </c>
      <c r="P7" s="20" t="n">
        <v>0</v>
      </c>
      <c r="Q7" s="18" t="n">
        <v>0.27098922</v>
      </c>
      <c r="R7" s="20" t="n">
        <v>0.14939853</v>
      </c>
    </row>
    <row r="8" spans="1:18">
      <c r="A8" s="15" t="s">
        <v>350</v>
      </c>
      <c r="B8" s="17" t="n">
        <v>3443</v>
      </c>
      <c r="C8" s="18">
        <f>(3004.0/B8*100)</f>
        <v/>
      </c>
      <c r="D8" s="19" t="n">
        <v>439</v>
      </c>
      <c r="E8" s="18" t="n">
        <v>33.05676417</v>
      </c>
      <c r="F8" s="20" t="n">
        <v>2.93231943</v>
      </c>
      <c r="G8" s="18" t="n">
        <v>65.63005364</v>
      </c>
      <c r="H8" s="20" t="n">
        <v>2.9493863</v>
      </c>
      <c r="I8" s="18" t="s">
        <v>349</v>
      </c>
      <c r="J8" s="20" t="s">
        <v>349</v>
      </c>
      <c r="K8" s="18" t="n">
        <v>0.08132134000000001</v>
      </c>
      <c r="L8" s="20" t="n">
        <v>0.08124252999999999</v>
      </c>
      <c r="M8" s="18" t="n">
        <v>0</v>
      </c>
      <c r="N8" s="20" t="n">
        <v>0</v>
      </c>
      <c r="O8" s="18" t="n">
        <v>0</v>
      </c>
      <c r="P8" s="20" t="n">
        <v>0</v>
      </c>
      <c r="Q8" s="18" t="n">
        <v>1.23186085</v>
      </c>
      <c r="R8" s="20" t="n">
        <v>0.54317469</v>
      </c>
    </row>
    <row r="9" spans="1:18">
      <c r="A9" s="15" t="s">
        <v>351</v>
      </c>
      <c r="B9" s="17" t="n">
        <v>4752</v>
      </c>
      <c r="C9" s="18">
        <f>(4078.0/B9*100)</f>
        <v/>
      </c>
      <c r="D9" s="19" t="n">
        <v>674</v>
      </c>
      <c r="E9" s="18" t="n">
        <v>31.22037168</v>
      </c>
      <c r="F9" s="20" t="n">
        <v>2.09521699</v>
      </c>
      <c r="G9" s="18" t="n">
        <v>66.31020735</v>
      </c>
      <c r="H9" s="20" t="n">
        <v>2.16142306</v>
      </c>
      <c r="I9" s="18" t="s">
        <v>349</v>
      </c>
      <c r="J9" s="20" t="s">
        <v>349</v>
      </c>
      <c r="K9" s="18" t="n">
        <v>1.56312422</v>
      </c>
      <c r="L9" s="20" t="n">
        <v>0.57875223</v>
      </c>
      <c r="M9" s="18" t="n">
        <v>0</v>
      </c>
      <c r="N9" s="20" t="n">
        <v>0</v>
      </c>
      <c r="O9" s="18" t="n">
        <v>0</v>
      </c>
      <c r="P9" s="20" t="n">
        <v>0</v>
      </c>
      <c r="Q9" s="18" t="n">
        <v>0.90629674</v>
      </c>
      <c r="R9" s="20" t="n">
        <v>0.43954441</v>
      </c>
    </row>
    <row r="10" spans="1:18">
      <c r="A10" s="15" t="s">
        <v>352</v>
      </c>
      <c r="B10" s="17" t="n">
        <v>10022</v>
      </c>
      <c r="C10" s="18">
        <f>(8752.0/B10*100)</f>
        <v/>
      </c>
      <c r="D10" s="19" t="n">
        <v>1270</v>
      </c>
      <c r="E10" s="18" t="n">
        <v>22.84635178</v>
      </c>
      <c r="F10" s="20" t="n">
        <v>1.63343286</v>
      </c>
      <c r="G10" s="18" t="n">
        <v>76.94029254</v>
      </c>
      <c r="H10" s="20" t="n">
        <v>1.62701184</v>
      </c>
      <c r="I10" s="18" t="s">
        <v>349</v>
      </c>
      <c r="J10" s="20" t="s">
        <v>349</v>
      </c>
      <c r="K10" s="18" t="n">
        <v>0.02487766</v>
      </c>
      <c r="L10" s="20" t="n">
        <v>0.0209104</v>
      </c>
      <c r="M10" s="18" t="n">
        <v>0</v>
      </c>
      <c r="N10" s="20" t="n">
        <v>0</v>
      </c>
      <c r="O10" s="18" t="n">
        <v>0</v>
      </c>
      <c r="P10" s="20" t="n">
        <v>0</v>
      </c>
      <c r="Q10" s="18" t="n">
        <v>0.18847802</v>
      </c>
      <c r="R10" s="20" t="n">
        <v>0.17159325</v>
      </c>
    </row>
    <row r="11" spans="1:18">
      <c r="A11" s="15" t="s">
        <v>353</v>
      </c>
      <c r="B11" s="17" t="n">
        <v>3500</v>
      </c>
      <c r="C11" s="18">
        <f>(3075.0/B11*100)</f>
        <v/>
      </c>
      <c r="D11" s="19" t="n">
        <v>425</v>
      </c>
      <c r="E11" s="18" t="n">
        <v>56.35336075</v>
      </c>
      <c r="F11" s="20" t="n">
        <v>2.67945153</v>
      </c>
      <c r="G11" s="18" t="n">
        <v>41.85526528</v>
      </c>
      <c r="H11" s="20" t="n">
        <v>2.63779479</v>
      </c>
      <c r="I11" s="18" t="s">
        <v>349</v>
      </c>
      <c r="J11" s="20" t="s">
        <v>349</v>
      </c>
      <c r="K11" s="18" t="n">
        <v>0.28227095</v>
      </c>
      <c r="L11" s="20" t="n">
        <v>0.27987192</v>
      </c>
      <c r="M11" s="18" t="n">
        <v>0</v>
      </c>
      <c r="N11" s="20" t="n">
        <v>0</v>
      </c>
      <c r="O11" s="18" t="n">
        <v>0</v>
      </c>
      <c r="P11" s="20" t="n">
        <v>0</v>
      </c>
      <c r="Q11" s="18" t="n">
        <v>1.50910302</v>
      </c>
      <c r="R11" s="20" t="n">
        <v>0.64492314</v>
      </c>
    </row>
    <row r="12" spans="1:18">
      <c r="A12" s="15" t="s">
        <v>354</v>
      </c>
      <c r="B12" s="17" t="n">
        <v>3422</v>
      </c>
      <c r="C12" s="18">
        <f>(2991.0/B12*100)</f>
        <v/>
      </c>
      <c r="D12" s="19" t="n">
        <v>431</v>
      </c>
      <c r="E12" s="18" t="n">
        <v>38.02575813</v>
      </c>
      <c r="F12" s="20" t="n">
        <v>3.19179462</v>
      </c>
      <c r="G12" s="18" t="n">
        <v>61.22651422</v>
      </c>
      <c r="H12" s="20" t="n">
        <v>3.18463727</v>
      </c>
      <c r="I12" s="18" t="s">
        <v>349</v>
      </c>
      <c r="J12" s="20" t="s">
        <v>349</v>
      </c>
      <c r="K12" s="18" t="n">
        <v>0</v>
      </c>
      <c r="L12" s="20" t="n">
        <v>0</v>
      </c>
      <c r="M12" s="18" t="n">
        <v>0</v>
      </c>
      <c r="N12" s="20" t="n">
        <v>0</v>
      </c>
      <c r="O12" s="18" t="n">
        <v>0</v>
      </c>
      <c r="P12" s="20" t="n">
        <v>0</v>
      </c>
      <c r="Q12" s="18" t="n">
        <v>0.74772766</v>
      </c>
      <c r="R12" s="20" t="n">
        <v>0.50914906</v>
      </c>
    </row>
    <row r="13" spans="1:18">
      <c r="A13" s="15" t="s">
        <v>355</v>
      </c>
      <c r="B13" s="17" t="n">
        <v>3602</v>
      </c>
      <c r="C13" s="18">
        <f>(3020.0/B13*100)</f>
        <v/>
      </c>
      <c r="D13" s="19" t="n">
        <v>582</v>
      </c>
      <c r="E13" s="18" t="n">
        <v>26.65912905</v>
      </c>
      <c r="F13" s="20" t="n">
        <v>2.28127481</v>
      </c>
      <c r="G13" s="18" t="n">
        <v>71.62070396</v>
      </c>
      <c r="H13" s="20" t="n">
        <v>2.35533417</v>
      </c>
      <c r="I13" s="18" t="s">
        <v>349</v>
      </c>
      <c r="J13" s="20" t="s">
        <v>349</v>
      </c>
      <c r="K13" s="18" t="n">
        <v>0.93767344</v>
      </c>
      <c r="L13" s="20" t="n">
        <v>0.45486977</v>
      </c>
      <c r="M13" s="18" t="n">
        <v>0</v>
      </c>
      <c r="N13" s="20" t="n">
        <v>0</v>
      </c>
      <c r="O13" s="18" t="n">
        <v>0</v>
      </c>
      <c r="P13" s="20" t="n">
        <v>0</v>
      </c>
      <c r="Q13" s="18" t="n">
        <v>0.78249356</v>
      </c>
      <c r="R13" s="20" t="n">
        <v>0.37461863</v>
      </c>
    </row>
    <row r="14" spans="1:18">
      <c r="A14" s="15" t="s">
        <v>356</v>
      </c>
      <c r="B14" s="17" t="n">
        <v>2788</v>
      </c>
      <c r="C14" s="18">
        <f>(2456.0/B14*100)</f>
        <v/>
      </c>
      <c r="D14" s="19" t="n">
        <v>332</v>
      </c>
      <c r="E14" s="18" t="n">
        <v>19.18629254</v>
      </c>
      <c r="F14" s="20" t="n">
        <v>1.9085097</v>
      </c>
      <c r="G14" s="18" t="n">
        <v>80.81370746</v>
      </c>
      <c r="H14" s="20" t="n">
        <v>1.9085097</v>
      </c>
      <c r="I14" s="18" t="s">
        <v>349</v>
      </c>
      <c r="J14" s="20" t="s">
        <v>349</v>
      </c>
      <c r="K14" s="18" t="n">
        <v>0</v>
      </c>
      <c r="L14" s="20" t="n">
        <v>0</v>
      </c>
      <c r="M14" s="18" t="n">
        <v>0</v>
      </c>
      <c r="N14" s="20" t="n">
        <v>0</v>
      </c>
      <c r="O14" s="18" t="n">
        <v>0</v>
      </c>
      <c r="P14" s="20" t="n">
        <v>0</v>
      </c>
      <c r="Q14" s="18" t="n">
        <v>0</v>
      </c>
      <c r="R14" s="20" t="n">
        <v>0</v>
      </c>
    </row>
    <row r="15" spans="1:18">
      <c r="A15" s="15" t="s">
        <v>357</v>
      </c>
      <c r="B15" s="17" t="n">
        <v>2863</v>
      </c>
      <c r="C15" s="18">
        <f>(2504.0/B15*100)</f>
        <v/>
      </c>
      <c r="D15" s="19" t="n">
        <v>359</v>
      </c>
      <c r="E15" s="18" t="n">
        <v>27.54236528</v>
      </c>
      <c r="F15" s="20" t="n">
        <v>2.46878378</v>
      </c>
      <c r="G15" s="18" t="n">
        <v>71.32913282</v>
      </c>
      <c r="H15" s="20" t="n">
        <v>2.69016165</v>
      </c>
      <c r="I15" s="18" t="s">
        <v>349</v>
      </c>
      <c r="J15" s="20" t="s">
        <v>349</v>
      </c>
      <c r="K15" s="18" t="n">
        <v>0.86720337</v>
      </c>
      <c r="L15" s="20" t="n">
        <v>0.67304599</v>
      </c>
      <c r="M15" s="18" t="n">
        <v>0</v>
      </c>
      <c r="N15" s="20" t="n">
        <v>0</v>
      </c>
      <c r="O15" s="18" t="n">
        <v>0</v>
      </c>
      <c r="P15" s="20" t="n">
        <v>0</v>
      </c>
      <c r="Q15" s="18" t="n">
        <v>0.26129853</v>
      </c>
      <c r="R15" s="20" t="n">
        <v>0.26217329</v>
      </c>
    </row>
    <row r="16" spans="1:18">
      <c r="A16" s="15" t="s">
        <v>358</v>
      </c>
      <c r="B16" s="17" t="n">
        <v>3111</v>
      </c>
      <c r="C16" s="18">
        <f>(2738.0/B16*100)</f>
        <v/>
      </c>
      <c r="D16" s="19" t="n">
        <v>373</v>
      </c>
      <c r="E16" s="18" t="n">
        <v>25.72046414</v>
      </c>
      <c r="F16" s="20" t="n">
        <v>2.20095775</v>
      </c>
      <c r="G16" s="18" t="n">
        <v>73.77979641</v>
      </c>
      <c r="H16" s="20" t="n">
        <v>2.17755701</v>
      </c>
      <c r="I16" s="18" t="s">
        <v>349</v>
      </c>
      <c r="J16" s="20" t="s">
        <v>349</v>
      </c>
      <c r="K16" s="18" t="n">
        <v>0</v>
      </c>
      <c r="L16" s="20" t="n">
        <v>0</v>
      </c>
      <c r="M16" s="18" t="n">
        <v>0</v>
      </c>
      <c r="N16" s="20" t="n">
        <v>0</v>
      </c>
      <c r="O16" s="18" t="n">
        <v>0</v>
      </c>
      <c r="P16" s="20" t="n">
        <v>0</v>
      </c>
      <c r="Q16" s="18" t="n">
        <v>0.49973945</v>
      </c>
      <c r="R16" s="20" t="n">
        <v>0.33818823</v>
      </c>
    </row>
    <row r="17" spans="1:18">
      <c r="A17" s="15" t="s">
        <v>359</v>
      </c>
      <c r="B17" s="17" t="n">
        <v>3197</v>
      </c>
      <c r="C17" s="18">
        <f>(2765.0/B17*100)</f>
        <v/>
      </c>
      <c r="D17" s="19" t="n">
        <v>432</v>
      </c>
      <c r="E17" s="18" t="n">
        <v>29.73615719</v>
      </c>
      <c r="F17" s="20" t="n">
        <v>2.22717809</v>
      </c>
      <c r="G17" s="18" t="n">
        <v>68.08149292</v>
      </c>
      <c r="H17" s="20" t="n">
        <v>2.15904217</v>
      </c>
      <c r="I17" s="18" t="s">
        <v>349</v>
      </c>
      <c r="J17" s="20" t="s">
        <v>349</v>
      </c>
      <c r="K17" s="18" t="n">
        <v>1.10899597</v>
      </c>
      <c r="L17" s="20" t="n">
        <v>0.52081082</v>
      </c>
      <c r="M17" s="18" t="n">
        <v>0</v>
      </c>
      <c r="N17" s="20" t="n">
        <v>0</v>
      </c>
      <c r="O17" s="18" t="n">
        <v>0</v>
      </c>
      <c r="P17" s="20" t="n">
        <v>0</v>
      </c>
      <c r="Q17" s="18" t="n">
        <v>1.07335391</v>
      </c>
      <c r="R17" s="20" t="n">
        <v>0.49951343</v>
      </c>
    </row>
    <row r="18" spans="1:18">
      <c r="A18" s="15" t="s">
        <v>360</v>
      </c>
      <c r="B18" s="17" t="n">
        <v>2706</v>
      </c>
      <c r="C18" s="18">
        <f>(2382.0/B18*100)</f>
        <v/>
      </c>
      <c r="D18" s="19" t="n">
        <v>324</v>
      </c>
      <c r="E18" s="18" t="n">
        <v>40.71508695</v>
      </c>
      <c r="F18" s="20" t="n">
        <v>2.96926109</v>
      </c>
      <c r="G18" s="18" t="n">
        <v>58.52059241</v>
      </c>
      <c r="H18" s="20" t="n">
        <v>3.04964569</v>
      </c>
      <c r="I18" s="18" t="s">
        <v>349</v>
      </c>
      <c r="J18" s="20" t="s">
        <v>349</v>
      </c>
      <c r="K18" s="18" t="n">
        <v>0</v>
      </c>
      <c r="L18" s="20" t="n">
        <v>0</v>
      </c>
      <c r="M18" s="18" t="n">
        <v>0</v>
      </c>
      <c r="N18" s="20" t="n">
        <v>0</v>
      </c>
      <c r="O18" s="18" t="n">
        <v>0</v>
      </c>
      <c r="P18" s="20" t="n">
        <v>0</v>
      </c>
      <c r="Q18" s="18" t="n">
        <v>0.76432065</v>
      </c>
      <c r="R18" s="20" t="n">
        <v>0.53758116</v>
      </c>
    </row>
    <row r="19" spans="1:18">
      <c r="A19" s="15" t="s">
        <v>361</v>
      </c>
      <c r="B19" s="17" t="n">
        <v>2850</v>
      </c>
      <c r="C19" s="18">
        <f>(2524.0/B19*100)</f>
        <v/>
      </c>
      <c r="D19" s="19" t="n">
        <v>326</v>
      </c>
      <c r="E19" s="18" t="n">
        <v>37.51158185</v>
      </c>
      <c r="F19" s="20" t="n">
        <v>2.79968344</v>
      </c>
      <c r="G19" s="18" t="n">
        <v>62.23079303</v>
      </c>
      <c r="H19" s="20" t="n">
        <v>2.7751709</v>
      </c>
      <c r="I19" s="18" t="s">
        <v>349</v>
      </c>
      <c r="J19" s="20" t="s">
        <v>349</v>
      </c>
      <c r="K19" s="18" t="n">
        <v>0</v>
      </c>
      <c r="L19" s="20" t="n">
        <v>0</v>
      </c>
      <c r="M19" s="18" t="n">
        <v>0</v>
      </c>
      <c r="N19" s="20" t="n">
        <v>0</v>
      </c>
      <c r="O19" s="18" t="n">
        <v>0</v>
      </c>
      <c r="P19" s="20" t="n">
        <v>0</v>
      </c>
      <c r="Q19" s="18" t="n">
        <v>0.25762512</v>
      </c>
      <c r="R19" s="20" t="n">
        <v>0.25815316</v>
      </c>
    </row>
    <row r="20" spans="1:18">
      <c r="A20" s="15" t="s">
        <v>362</v>
      </c>
      <c r="B20" s="17" t="n">
        <v>1741</v>
      </c>
      <c r="C20" s="18">
        <f>(1528.0/B20*100)</f>
        <v/>
      </c>
      <c r="D20" s="19" t="n">
        <v>213</v>
      </c>
      <c r="E20" s="18" t="n">
        <v>33.71188582</v>
      </c>
      <c r="F20" s="20" t="n">
        <v>3.03770038</v>
      </c>
      <c r="G20" s="18" t="n">
        <v>65.29711869</v>
      </c>
      <c r="H20" s="20" t="n">
        <v>2.93326484</v>
      </c>
      <c r="I20" s="18" t="s">
        <v>349</v>
      </c>
      <c r="J20" s="20" t="s">
        <v>349</v>
      </c>
      <c r="K20" s="18" t="n">
        <v>0</v>
      </c>
      <c r="L20" s="20" t="n">
        <v>0</v>
      </c>
      <c r="M20" s="18" t="n">
        <v>0</v>
      </c>
      <c r="N20" s="20" t="n">
        <v>0</v>
      </c>
      <c r="O20" s="18" t="n">
        <v>0</v>
      </c>
      <c r="P20" s="20" t="n">
        <v>0</v>
      </c>
      <c r="Q20" s="18" t="n">
        <v>0.99099549</v>
      </c>
      <c r="R20" s="20" t="n">
        <v>0.7059976100000001</v>
      </c>
    </row>
    <row r="21" spans="1:18">
      <c r="A21" s="15" t="s">
        <v>363</v>
      </c>
      <c r="B21" s="17" t="n">
        <v>2833</v>
      </c>
      <c r="C21" s="18">
        <f>(2376.0/B21*100)</f>
        <v/>
      </c>
      <c r="D21" s="19" t="n">
        <v>457</v>
      </c>
      <c r="E21" s="18" t="n">
        <v>39.87795185</v>
      </c>
      <c r="F21" s="20" t="n">
        <v>2.5860317</v>
      </c>
      <c r="G21" s="18" t="n">
        <v>59.92022126</v>
      </c>
      <c r="H21" s="20" t="n">
        <v>2.57086083</v>
      </c>
      <c r="I21" s="18" t="s">
        <v>349</v>
      </c>
      <c r="J21" s="20" t="s">
        <v>349</v>
      </c>
      <c r="K21" s="18" t="n">
        <v>0</v>
      </c>
      <c r="L21" s="20" t="n">
        <v>0</v>
      </c>
      <c r="M21" s="18" t="n">
        <v>0</v>
      </c>
      <c r="N21" s="20" t="n">
        <v>0</v>
      </c>
      <c r="O21" s="18" t="n">
        <v>0</v>
      </c>
      <c r="P21" s="20" t="n">
        <v>0</v>
      </c>
      <c r="Q21" s="18" t="n">
        <v>0.20182689</v>
      </c>
      <c r="R21" s="20" t="n">
        <v>0.20066747</v>
      </c>
    </row>
    <row r="22" spans="1:18">
      <c r="A22" s="15" t="s">
        <v>364</v>
      </c>
      <c r="B22" s="17" t="n">
        <v>3667</v>
      </c>
      <c r="C22" s="18">
        <f>(3186.0/B22*100)</f>
        <v/>
      </c>
      <c r="D22" s="19" t="n">
        <v>481</v>
      </c>
      <c r="E22" s="18" t="n">
        <v>41.33449448</v>
      </c>
      <c r="F22" s="20" t="n">
        <v>2.76418249</v>
      </c>
      <c r="G22" s="18" t="n">
        <v>57.96707946</v>
      </c>
      <c r="H22" s="20" t="n">
        <v>2.71387088</v>
      </c>
      <c r="I22" s="18" t="s">
        <v>349</v>
      </c>
      <c r="J22" s="20" t="s">
        <v>349</v>
      </c>
      <c r="K22" s="18" t="n">
        <v>0.27996656</v>
      </c>
      <c r="L22" s="20" t="n">
        <v>0.27779968</v>
      </c>
      <c r="M22" s="18" t="n">
        <v>0</v>
      </c>
      <c r="N22" s="20" t="n">
        <v>0</v>
      </c>
      <c r="O22" s="18" t="n">
        <v>0</v>
      </c>
      <c r="P22" s="20" t="n">
        <v>0</v>
      </c>
      <c r="Q22" s="18" t="n">
        <v>0.4184595</v>
      </c>
      <c r="R22" s="20" t="n">
        <v>0.2993938</v>
      </c>
    </row>
    <row r="23" spans="1:18">
      <c r="A23" s="15" t="s">
        <v>365</v>
      </c>
      <c r="B23" s="17" t="n">
        <v>5792</v>
      </c>
      <c r="C23" s="18">
        <f>(5051.0/B23*100)</f>
        <v/>
      </c>
      <c r="D23" s="19" t="n">
        <v>741</v>
      </c>
      <c r="E23" s="18" t="n">
        <v>34.417119</v>
      </c>
      <c r="F23" s="20" t="n">
        <v>2.3629789</v>
      </c>
      <c r="G23" s="18" t="n">
        <v>65.21047839000001</v>
      </c>
      <c r="H23" s="20" t="n">
        <v>2.40623597</v>
      </c>
      <c r="I23" s="18" t="s">
        <v>349</v>
      </c>
      <c r="J23" s="20" t="s">
        <v>349</v>
      </c>
      <c r="K23" s="18" t="n">
        <v>0</v>
      </c>
      <c r="L23" s="20" t="n">
        <v>0</v>
      </c>
      <c r="M23" s="18" t="n">
        <v>0</v>
      </c>
      <c r="N23" s="20" t="n">
        <v>0</v>
      </c>
      <c r="O23" s="18" t="n">
        <v>0</v>
      </c>
      <c r="P23" s="20" t="n">
        <v>0</v>
      </c>
      <c r="Q23" s="18" t="n">
        <v>0.37240262</v>
      </c>
      <c r="R23" s="20" t="n">
        <v>0.45531268</v>
      </c>
    </row>
    <row r="24" spans="1:18">
      <c r="A24" s="15" t="s">
        <v>366</v>
      </c>
      <c r="B24" s="17" t="n">
        <v>3309</v>
      </c>
      <c r="C24" s="18">
        <f>(2903.0/B24*100)</f>
        <v/>
      </c>
      <c r="D24" s="19" t="n">
        <v>406</v>
      </c>
      <c r="E24" s="18" t="n">
        <v>17.85688064</v>
      </c>
      <c r="F24" s="20" t="n">
        <v>2.10638558</v>
      </c>
      <c r="G24" s="18" t="n">
        <v>81.84873695</v>
      </c>
      <c r="H24" s="20" t="n">
        <v>2.1193867</v>
      </c>
      <c r="I24" s="18" t="s">
        <v>349</v>
      </c>
      <c r="J24" s="20" t="s">
        <v>349</v>
      </c>
      <c r="K24" s="18" t="n">
        <v>0</v>
      </c>
      <c r="L24" s="20" t="n">
        <v>0</v>
      </c>
      <c r="M24" s="18" t="n">
        <v>0</v>
      </c>
      <c r="N24" s="20" t="n">
        <v>0</v>
      </c>
      <c r="O24" s="18" t="n">
        <v>0</v>
      </c>
      <c r="P24" s="20" t="n">
        <v>0</v>
      </c>
      <c r="Q24" s="18" t="n">
        <v>0.29438242</v>
      </c>
      <c r="R24" s="20" t="n">
        <v>0.29502416</v>
      </c>
    </row>
    <row r="25" spans="1:18">
      <c r="A25" s="15" t="s">
        <v>367</v>
      </c>
      <c r="B25" s="17" t="n">
        <v>2669</v>
      </c>
      <c r="C25" s="18">
        <f>(2343.0/B25*100)</f>
        <v/>
      </c>
      <c r="D25" s="19" t="n">
        <v>326</v>
      </c>
      <c r="E25" s="18" t="n">
        <v>14.92174497</v>
      </c>
      <c r="F25" s="20" t="n">
        <v>1.85576374</v>
      </c>
      <c r="G25" s="18" t="n">
        <v>84.49153097999999</v>
      </c>
      <c r="H25" s="20" t="n">
        <v>2.0280435</v>
      </c>
      <c r="I25" s="18" t="s">
        <v>349</v>
      </c>
      <c r="J25" s="20" t="s">
        <v>349</v>
      </c>
      <c r="K25" s="18" t="n">
        <v>0.58672406</v>
      </c>
      <c r="L25" s="20" t="n">
        <v>0.49847186</v>
      </c>
      <c r="M25" s="18" t="n">
        <v>0</v>
      </c>
      <c r="N25" s="20" t="n">
        <v>0</v>
      </c>
      <c r="O25" s="18" t="n">
        <v>0</v>
      </c>
      <c r="P25" s="20" t="n">
        <v>0</v>
      </c>
      <c r="Q25" s="18" t="n">
        <v>0</v>
      </c>
      <c r="R25" s="20" t="n">
        <v>0</v>
      </c>
    </row>
    <row r="26" spans="1:18">
      <c r="A26" s="15" t="s">
        <v>368</v>
      </c>
      <c r="B26" s="17" t="n">
        <v>2419</v>
      </c>
      <c r="C26" s="18">
        <f>(2130.0/B26*100)</f>
        <v/>
      </c>
      <c r="D26" s="19" t="n">
        <v>289</v>
      </c>
      <c r="E26" s="18" t="n">
        <v>22.43098463</v>
      </c>
      <c r="F26" s="20" t="n">
        <v>2.93604973</v>
      </c>
      <c r="G26" s="18" t="n">
        <v>76.66918182000001</v>
      </c>
      <c r="H26" s="20" t="n">
        <v>2.95377512</v>
      </c>
      <c r="I26" s="18" t="s">
        <v>349</v>
      </c>
      <c r="J26" s="20" t="s">
        <v>349</v>
      </c>
      <c r="K26" s="18" t="n">
        <v>0.25971371</v>
      </c>
      <c r="L26" s="20" t="n">
        <v>0.26308117</v>
      </c>
      <c r="M26" s="18" t="n">
        <v>0</v>
      </c>
      <c r="N26" s="20" t="n">
        <v>0</v>
      </c>
      <c r="O26" s="18" t="n">
        <v>0</v>
      </c>
      <c r="P26" s="20" t="n">
        <v>0</v>
      </c>
      <c r="Q26" s="18" t="n">
        <v>0.64011984</v>
      </c>
      <c r="R26" s="20" t="n">
        <v>0.62899554</v>
      </c>
    </row>
    <row r="27" spans="1:18">
      <c r="A27" s="15" t="s">
        <v>369</v>
      </c>
      <c r="B27" s="17" t="n">
        <v>2683</v>
      </c>
      <c r="C27" s="18">
        <f>(2345.0/B27*100)</f>
        <v/>
      </c>
      <c r="D27" s="19" t="n">
        <v>338</v>
      </c>
      <c r="E27" s="18" t="n">
        <v>34.82721137</v>
      </c>
      <c r="F27" s="20" t="n">
        <v>2.45210195</v>
      </c>
      <c r="G27" s="18" t="n">
        <v>64.57382717999999</v>
      </c>
      <c r="H27" s="20" t="n">
        <v>2.48665036</v>
      </c>
      <c r="I27" s="18" t="s">
        <v>349</v>
      </c>
      <c r="J27" s="20" t="s">
        <v>349</v>
      </c>
      <c r="K27" s="18" t="n">
        <v>0</v>
      </c>
      <c r="L27" s="20" t="n">
        <v>0</v>
      </c>
      <c r="M27" s="18" t="n">
        <v>0</v>
      </c>
      <c r="N27" s="20" t="n">
        <v>0</v>
      </c>
      <c r="O27" s="18" t="n">
        <v>0</v>
      </c>
      <c r="P27" s="20" t="n">
        <v>0</v>
      </c>
      <c r="Q27" s="18" t="n">
        <v>0.59896145</v>
      </c>
      <c r="R27" s="20" t="n">
        <v>0.42441607</v>
      </c>
    </row>
    <row r="28" spans="1:18">
      <c r="A28" s="15" t="s">
        <v>370</v>
      </c>
      <c r="B28" s="17" t="n">
        <v>3803</v>
      </c>
      <c r="C28" s="18">
        <f>(3343.0/B28*100)</f>
        <v/>
      </c>
      <c r="D28" s="19" t="n">
        <v>460</v>
      </c>
      <c r="E28" s="18" t="n">
        <v>55.87970543</v>
      </c>
      <c r="F28" s="20" t="n">
        <v>2.67414077</v>
      </c>
      <c r="G28" s="18" t="n">
        <v>44.12029457</v>
      </c>
      <c r="H28" s="20" t="n">
        <v>2.67414077</v>
      </c>
      <c r="I28" s="18" t="s">
        <v>349</v>
      </c>
      <c r="J28" s="20" t="s">
        <v>349</v>
      </c>
      <c r="K28" s="18" t="n">
        <v>0</v>
      </c>
      <c r="L28" s="20" t="n">
        <v>0</v>
      </c>
      <c r="M28" s="18" t="n">
        <v>0</v>
      </c>
      <c r="N28" s="20" t="n">
        <v>0</v>
      </c>
      <c r="O28" s="18" t="n">
        <v>0</v>
      </c>
      <c r="P28" s="20" t="n">
        <v>0</v>
      </c>
      <c r="Q28" s="18" t="n">
        <v>0</v>
      </c>
      <c r="R28" s="20" t="n">
        <v>0</v>
      </c>
    </row>
    <row r="29" spans="1:18">
      <c r="A29" s="15" t="s">
        <v>371</v>
      </c>
      <c r="B29" s="17" t="n">
        <v>2700</v>
      </c>
      <c r="C29" s="18">
        <f>(2322.0/B29*100)</f>
        <v/>
      </c>
      <c r="D29" s="19" t="n">
        <v>378</v>
      </c>
      <c r="E29" s="18" t="n">
        <v>27.25662783</v>
      </c>
      <c r="F29" s="20" t="n">
        <v>2.16421912</v>
      </c>
      <c r="G29" s="18" t="n">
        <v>71.19111989</v>
      </c>
      <c r="H29" s="20" t="n">
        <v>2.60065093</v>
      </c>
      <c r="I29" s="18" t="s">
        <v>349</v>
      </c>
      <c r="J29" s="20" t="s">
        <v>349</v>
      </c>
      <c r="K29" s="18" t="n">
        <v>0.83141121</v>
      </c>
      <c r="L29" s="20" t="n">
        <v>0.81361557</v>
      </c>
      <c r="M29" s="18" t="n">
        <v>0</v>
      </c>
      <c r="N29" s="20" t="n">
        <v>0</v>
      </c>
      <c r="O29" s="18" t="n">
        <v>0</v>
      </c>
      <c r="P29" s="20" t="n">
        <v>0</v>
      </c>
      <c r="Q29" s="18" t="n">
        <v>0.72084107</v>
      </c>
      <c r="R29" s="20" t="n">
        <v>0.23887708</v>
      </c>
    </row>
    <row r="30" spans="1:18">
      <c r="A30" s="15" t="s">
        <v>372</v>
      </c>
      <c r="B30" s="17" t="n">
        <v>2257</v>
      </c>
      <c r="C30" s="18">
        <f>(1956.0/B30*100)</f>
        <v/>
      </c>
      <c r="D30" s="19" t="n">
        <v>301</v>
      </c>
      <c r="E30" s="18" t="n">
        <v>36.60800091</v>
      </c>
      <c r="F30" s="20" t="n">
        <v>2.93187744</v>
      </c>
      <c r="G30" s="18" t="n">
        <v>62.0128226</v>
      </c>
      <c r="H30" s="20" t="n">
        <v>3.04828341</v>
      </c>
      <c r="I30" s="18" t="s">
        <v>349</v>
      </c>
      <c r="J30" s="20" t="s">
        <v>349</v>
      </c>
      <c r="K30" s="18" t="n">
        <v>0.30455751</v>
      </c>
      <c r="L30" s="20" t="n">
        <v>0.31026805</v>
      </c>
      <c r="M30" s="18" t="n">
        <v>0</v>
      </c>
      <c r="N30" s="20" t="n">
        <v>0</v>
      </c>
      <c r="O30" s="18" t="n">
        <v>0</v>
      </c>
      <c r="P30" s="20" t="n">
        <v>0</v>
      </c>
      <c r="Q30" s="18" t="n">
        <v>1.07461898</v>
      </c>
      <c r="R30" s="20" t="n">
        <v>0.68801172</v>
      </c>
    </row>
    <row r="31" spans="1:18">
      <c r="A31" s="15" t="s">
        <v>373</v>
      </c>
      <c r="B31" s="17" t="n">
        <v>2706</v>
      </c>
      <c r="C31" s="18">
        <f>(2387.0/B31*100)</f>
        <v/>
      </c>
      <c r="D31" s="19" t="n">
        <v>319</v>
      </c>
      <c r="E31" s="18" t="n">
        <v>23.80979011</v>
      </c>
      <c r="F31" s="20" t="n">
        <v>2.46656337</v>
      </c>
      <c r="G31" s="18" t="n">
        <v>75.22557137</v>
      </c>
      <c r="H31" s="20" t="n">
        <v>2.4666793</v>
      </c>
      <c r="I31" s="18" t="s">
        <v>349</v>
      </c>
      <c r="J31" s="20" t="s">
        <v>349</v>
      </c>
      <c r="K31" s="18" t="n">
        <v>0.65273473</v>
      </c>
      <c r="L31" s="20" t="n">
        <v>0.46294586</v>
      </c>
      <c r="M31" s="18" t="n">
        <v>0</v>
      </c>
      <c r="N31" s="20" t="n">
        <v>0</v>
      </c>
      <c r="O31" s="18" t="n">
        <v>0</v>
      </c>
      <c r="P31" s="20" t="n">
        <v>0</v>
      </c>
      <c r="Q31" s="18" t="n">
        <v>0.31190378</v>
      </c>
      <c r="R31" s="20" t="n">
        <v>0.32211612</v>
      </c>
    </row>
    <row r="32" spans="1:18">
      <c r="A32" s="15" t="s">
        <v>374</v>
      </c>
      <c r="B32" s="17" t="n">
        <v>2209</v>
      </c>
      <c r="C32" s="18">
        <f>(1846.0/B32*100)</f>
        <v/>
      </c>
      <c r="D32" s="19" t="n">
        <v>363</v>
      </c>
      <c r="E32" s="18" t="n">
        <v>25.73658358</v>
      </c>
      <c r="F32" s="20" t="n">
        <v>2.74065548</v>
      </c>
      <c r="G32" s="18" t="n">
        <v>74.26341642</v>
      </c>
      <c r="H32" s="20" t="n">
        <v>2.74065548</v>
      </c>
      <c r="I32" s="18" t="s">
        <v>349</v>
      </c>
      <c r="J32" s="20" t="s">
        <v>349</v>
      </c>
      <c r="K32" s="18" t="n">
        <v>0</v>
      </c>
      <c r="L32" s="20" t="n">
        <v>0</v>
      </c>
      <c r="M32" s="18" t="n">
        <v>0</v>
      </c>
      <c r="N32" s="20" t="n">
        <v>0</v>
      </c>
      <c r="O32" s="18" t="n">
        <v>0</v>
      </c>
      <c r="P32" s="20" t="n">
        <v>0</v>
      </c>
      <c r="Q32" s="18" t="n">
        <v>0</v>
      </c>
      <c r="R32" s="20" t="n">
        <v>0</v>
      </c>
    </row>
    <row r="33" spans="1:18">
      <c r="A33" s="15" t="s">
        <v>375</v>
      </c>
      <c r="B33" s="17" t="n">
        <v>3651</v>
      </c>
      <c r="C33" s="18">
        <f>(3216.0/B33*100)</f>
        <v/>
      </c>
      <c r="D33" s="19" t="n">
        <v>435</v>
      </c>
      <c r="E33" s="18" t="n">
        <v>28.91391806</v>
      </c>
      <c r="F33" s="20" t="n">
        <v>2.7992213</v>
      </c>
      <c r="G33" s="18" t="n">
        <v>70.74960299999999</v>
      </c>
      <c r="H33" s="20" t="n">
        <v>2.82933072</v>
      </c>
      <c r="I33" s="18" t="s">
        <v>349</v>
      </c>
      <c r="J33" s="20" t="s">
        <v>349</v>
      </c>
      <c r="K33" s="18" t="n">
        <v>0.33647894</v>
      </c>
      <c r="L33" s="20" t="n">
        <v>0.3499022</v>
      </c>
      <c r="M33" s="18" t="n">
        <v>0</v>
      </c>
      <c r="N33" s="20" t="n">
        <v>0</v>
      </c>
      <c r="O33" s="18" t="n">
        <v>0</v>
      </c>
      <c r="P33" s="20" t="n">
        <v>0</v>
      </c>
      <c r="Q33" s="18" t="n">
        <v>0</v>
      </c>
      <c r="R33" s="20" t="n">
        <v>0</v>
      </c>
    </row>
    <row r="34" spans="1:18">
      <c r="A34" s="15" t="s">
        <v>376</v>
      </c>
      <c r="B34" s="17" t="n">
        <v>3035</v>
      </c>
      <c r="C34" s="18">
        <f>(2593.0/B34*100)</f>
        <v/>
      </c>
      <c r="D34" s="19" t="n">
        <v>442</v>
      </c>
      <c r="E34" s="18" t="n">
        <v>45.37949018</v>
      </c>
      <c r="F34" s="20" t="n">
        <v>2.95929776</v>
      </c>
      <c r="G34" s="18" t="n">
        <v>52.53622506</v>
      </c>
      <c r="H34" s="20" t="n">
        <v>2.86439119</v>
      </c>
      <c r="I34" s="18" t="s">
        <v>349</v>
      </c>
      <c r="J34" s="20" t="s">
        <v>349</v>
      </c>
      <c r="K34" s="18" t="n">
        <v>0.81655383</v>
      </c>
      <c r="L34" s="20" t="n">
        <v>0.47209812</v>
      </c>
      <c r="M34" s="18" t="n">
        <v>0</v>
      </c>
      <c r="N34" s="20" t="n">
        <v>0</v>
      </c>
      <c r="O34" s="18" t="n">
        <v>0</v>
      </c>
      <c r="P34" s="20" t="n">
        <v>0</v>
      </c>
      <c r="Q34" s="18" t="n">
        <v>1.26773093</v>
      </c>
      <c r="R34" s="20" t="n">
        <v>0.66627472</v>
      </c>
    </row>
    <row r="35" spans="1:18">
      <c r="A35" s="15" t="s">
        <v>377</v>
      </c>
      <c r="B35" s="17" t="n">
        <v>2901</v>
      </c>
      <c r="C35" s="18">
        <f>(2528.0/B35*100)</f>
        <v/>
      </c>
      <c r="D35" s="19" t="n">
        <v>373</v>
      </c>
      <c r="E35" s="18" t="n">
        <v>28.06776124</v>
      </c>
      <c r="F35" s="20" t="n">
        <v>2.66799157</v>
      </c>
      <c r="G35" s="18" t="n">
        <v>71.24713386000001</v>
      </c>
      <c r="H35" s="20" t="n">
        <v>2.61646191</v>
      </c>
      <c r="I35" s="18" t="s">
        <v>349</v>
      </c>
      <c r="J35" s="20" t="s">
        <v>349</v>
      </c>
      <c r="K35" s="18" t="n">
        <v>0</v>
      </c>
      <c r="L35" s="20" t="n">
        <v>0</v>
      </c>
      <c r="M35" s="18" t="n">
        <v>0</v>
      </c>
      <c r="N35" s="20" t="n">
        <v>0</v>
      </c>
      <c r="O35" s="18" t="n">
        <v>0</v>
      </c>
      <c r="P35" s="20" t="n">
        <v>0</v>
      </c>
      <c r="Q35" s="18" t="n">
        <v>0.6851049</v>
      </c>
      <c r="R35" s="20" t="n">
        <v>0.69144664</v>
      </c>
    </row>
    <row r="36" spans="1:18">
      <c r="A36" s="15" t="s">
        <v>378</v>
      </c>
      <c r="B36" s="17" t="n">
        <v>3404</v>
      </c>
      <c r="C36" s="18">
        <f>(2958.0/B36*100)</f>
        <v/>
      </c>
      <c r="D36" s="19" t="n">
        <v>446</v>
      </c>
      <c r="E36" s="18" t="n">
        <v>38.34810985</v>
      </c>
      <c r="F36" s="20" t="n">
        <v>2.88442696</v>
      </c>
      <c r="G36" s="18" t="n">
        <v>61.13004649</v>
      </c>
      <c r="H36" s="20" t="n">
        <v>2.85343595</v>
      </c>
      <c r="I36" s="18" t="s">
        <v>349</v>
      </c>
      <c r="J36" s="20" t="s">
        <v>349</v>
      </c>
      <c r="K36" s="18" t="n">
        <v>0</v>
      </c>
      <c r="L36" s="20" t="n">
        <v>0</v>
      </c>
      <c r="M36" s="18" t="n">
        <v>0</v>
      </c>
      <c r="N36" s="20" t="n">
        <v>0</v>
      </c>
      <c r="O36" s="18" t="n">
        <v>0</v>
      </c>
      <c r="P36" s="20" t="n">
        <v>0</v>
      </c>
      <c r="Q36" s="18" t="n">
        <v>0.52184366</v>
      </c>
      <c r="R36" s="20" t="n">
        <v>0.35465251</v>
      </c>
    </row>
    <row r="37" spans="1:18">
      <c r="A37" s="15" t="s">
        <v>379</v>
      </c>
      <c r="B37" s="17" t="n">
        <v>2731</v>
      </c>
      <c r="C37" s="18">
        <f>(2394.0/B37*100)</f>
        <v/>
      </c>
      <c r="D37" s="19" t="n">
        <v>337</v>
      </c>
      <c r="E37" s="18" t="n">
        <v>27.72502191</v>
      </c>
      <c r="F37" s="20" t="n">
        <v>2.60283016</v>
      </c>
      <c r="G37" s="18" t="n">
        <v>70.13027839999999</v>
      </c>
      <c r="H37" s="20" t="n">
        <v>2.66878701</v>
      </c>
      <c r="I37" s="18" t="s">
        <v>349</v>
      </c>
      <c r="J37" s="20" t="s">
        <v>349</v>
      </c>
      <c r="K37" s="18" t="n">
        <v>0.5700130799999999</v>
      </c>
      <c r="L37" s="20" t="n">
        <v>0.39844239</v>
      </c>
      <c r="M37" s="18" t="n">
        <v>0</v>
      </c>
      <c r="N37" s="20" t="n">
        <v>0</v>
      </c>
      <c r="O37" s="18" t="n">
        <v>0</v>
      </c>
      <c r="P37" s="20" t="n">
        <v>0</v>
      </c>
      <c r="Q37" s="18" t="n">
        <v>1.57468661</v>
      </c>
      <c r="R37" s="20" t="n">
        <v>0.6986558899999999</v>
      </c>
    </row>
    <row r="38" spans="1:18">
      <c r="A38" s="15" t="s">
        <v>380</v>
      </c>
      <c r="B38" s="17" t="n">
        <v>2807</v>
      </c>
      <c r="C38" s="18">
        <f>(2349.0/B38*100)</f>
        <v/>
      </c>
      <c r="D38" s="19" t="n">
        <v>458</v>
      </c>
      <c r="E38" s="18" t="n">
        <v>22.58520191</v>
      </c>
      <c r="F38" s="20" t="n">
        <v>2.12349626</v>
      </c>
      <c r="G38" s="18" t="n">
        <v>77.09797119</v>
      </c>
      <c r="H38" s="20" t="n">
        <v>2.13579576</v>
      </c>
      <c r="I38" s="18" t="s">
        <v>349</v>
      </c>
      <c r="J38" s="20" t="s">
        <v>349</v>
      </c>
      <c r="K38" s="18" t="n">
        <v>0</v>
      </c>
      <c r="L38" s="20" t="n">
        <v>0</v>
      </c>
      <c r="M38" s="18" t="n">
        <v>0</v>
      </c>
      <c r="N38" s="20" t="n">
        <v>0</v>
      </c>
      <c r="O38" s="18" t="n">
        <v>0</v>
      </c>
      <c r="P38" s="20" t="n">
        <v>0</v>
      </c>
      <c r="Q38" s="18" t="n">
        <v>0.31682689</v>
      </c>
      <c r="R38" s="20" t="n">
        <v>0.28767992</v>
      </c>
    </row>
    <row r="39" spans="1:18">
      <c r="A39" s="15" t="s">
        <v>381</v>
      </c>
      <c r="B39" s="17" t="n">
        <v>2938</v>
      </c>
      <c r="C39" s="18">
        <f>(2583.0/B39*100)</f>
        <v/>
      </c>
      <c r="D39" s="19" t="n">
        <v>355</v>
      </c>
      <c r="E39" s="18" t="n">
        <v>57.26787572</v>
      </c>
      <c r="F39" s="20" t="n">
        <v>2.68463818</v>
      </c>
      <c r="G39" s="18" t="n">
        <v>42.73212428</v>
      </c>
      <c r="H39" s="20" t="n">
        <v>2.68463818</v>
      </c>
      <c r="I39" s="18" t="s">
        <v>349</v>
      </c>
      <c r="J39" s="20" t="s">
        <v>349</v>
      </c>
      <c r="K39" s="18" t="n">
        <v>0</v>
      </c>
      <c r="L39" s="20" t="n">
        <v>0</v>
      </c>
      <c r="M39" s="18" t="n">
        <v>0</v>
      </c>
      <c r="N39" s="20" t="n">
        <v>0</v>
      </c>
      <c r="O39" s="18" t="n">
        <v>0</v>
      </c>
      <c r="P39" s="20" t="n">
        <v>0</v>
      </c>
      <c r="Q39" s="18" t="n">
        <v>0</v>
      </c>
      <c r="R39" s="20" t="n">
        <v>0</v>
      </c>
    </row>
    <row r="40" spans="1:18">
      <c r="A40" s="15" t="s">
        <v>382</v>
      </c>
      <c r="B40" s="17" t="n">
        <v>6922</v>
      </c>
      <c r="C40" s="18">
        <f>(6087.0/B40*100)</f>
        <v/>
      </c>
      <c r="D40" s="19" t="n">
        <v>835</v>
      </c>
      <c r="E40" s="18" t="n">
        <v>35.11119495</v>
      </c>
      <c r="F40" s="20" t="n">
        <v>2.686857</v>
      </c>
      <c r="G40" s="18" t="n">
        <v>63.90195655</v>
      </c>
      <c r="H40" s="20" t="n">
        <v>2.6020228</v>
      </c>
      <c r="I40" s="18" t="s">
        <v>349</v>
      </c>
      <c r="J40" s="20" t="s">
        <v>349</v>
      </c>
      <c r="K40" s="18" t="n">
        <v>0.24603287</v>
      </c>
      <c r="L40" s="20" t="n">
        <v>0.30965792</v>
      </c>
      <c r="M40" s="18" t="n">
        <v>0</v>
      </c>
      <c r="N40" s="20" t="n">
        <v>0</v>
      </c>
      <c r="O40" s="18" t="n">
        <v>0</v>
      </c>
      <c r="P40" s="20" t="n">
        <v>0</v>
      </c>
      <c r="Q40" s="18" t="n">
        <v>0.7408156299999999</v>
      </c>
      <c r="R40" s="20" t="n">
        <v>0.3374107</v>
      </c>
    </row>
    <row r="41" spans="1:18">
      <c r="A41" s="15" t="s">
        <v>383</v>
      </c>
      <c r="B41" s="17" t="n">
        <v>2854</v>
      </c>
      <c r="C41" s="18">
        <f>(2483.0/B41*100)</f>
        <v/>
      </c>
      <c r="D41" s="19" t="n">
        <v>371</v>
      </c>
      <c r="E41" s="18" t="n">
        <v>43.36722064</v>
      </c>
      <c r="F41" s="20" t="n">
        <v>2.45969106</v>
      </c>
      <c r="G41" s="18" t="n">
        <v>56.63277936</v>
      </c>
      <c r="H41" s="20" t="n">
        <v>2.45969106</v>
      </c>
      <c r="I41" s="18" t="s">
        <v>349</v>
      </c>
      <c r="J41" s="20" t="s">
        <v>349</v>
      </c>
      <c r="K41" s="18" t="n">
        <v>0</v>
      </c>
      <c r="L41" s="20" t="n">
        <v>0</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(10660.0/B46*100)</f>
        <v/>
      </c>
      <c r="D46" s="19" t="n">
        <v>1413</v>
      </c>
      <c r="E46" s="18" t="n">
        <v>71.99311034999999</v>
      </c>
      <c r="F46" s="20" t="n">
        <v>1.88198802</v>
      </c>
      <c r="G46" s="18" t="n">
        <v>25.79324523</v>
      </c>
      <c r="H46" s="20" t="n">
        <v>1.87898024</v>
      </c>
      <c r="I46" s="18" t="s">
        <v>349</v>
      </c>
      <c r="J46" s="20" t="s">
        <v>349</v>
      </c>
      <c r="K46" s="18" t="n">
        <v>0.54747797</v>
      </c>
      <c r="L46" s="20" t="n">
        <v>0.23026744</v>
      </c>
      <c r="M46" s="18" t="n">
        <v>0</v>
      </c>
      <c r="N46" s="20" t="n">
        <v>0</v>
      </c>
      <c r="O46" s="18" t="n">
        <v>0</v>
      </c>
      <c r="P46" s="20" t="n">
        <v>0</v>
      </c>
      <c r="Q46" s="18" t="n">
        <v>1.66616645</v>
      </c>
      <c r="R46" s="20" t="n">
        <v>0.43036965</v>
      </c>
    </row>
    <row r="47" spans="1:18">
      <c r="A47" s="15" t="s">
        <v>389</v>
      </c>
      <c r="B47" s="17" t="n">
        <v>2823</v>
      </c>
      <c r="C47" s="18">
        <f>(2473.0/B47*100)</f>
        <v/>
      </c>
      <c r="D47" s="19" t="n">
        <v>350</v>
      </c>
      <c r="E47" s="18" t="n">
        <v>47.90184438</v>
      </c>
      <c r="F47" s="20" t="n">
        <v>2.59890501</v>
      </c>
      <c r="G47" s="18" t="n">
        <v>51.52783809</v>
      </c>
      <c r="H47" s="20" t="n">
        <v>2.61087195</v>
      </c>
      <c r="I47" s="18" t="s">
        <v>349</v>
      </c>
      <c r="J47" s="20" t="s">
        <v>349</v>
      </c>
      <c r="K47" s="18" t="n">
        <v>0</v>
      </c>
      <c r="L47" s="20" t="n">
        <v>0</v>
      </c>
      <c r="M47" s="18" t="n">
        <v>0</v>
      </c>
      <c r="N47" s="20" t="n">
        <v>0</v>
      </c>
      <c r="O47" s="18" t="n">
        <v>0</v>
      </c>
      <c r="P47" s="20" t="n">
        <v>0</v>
      </c>
      <c r="Q47" s="18" t="n">
        <v>0.57031753</v>
      </c>
      <c r="R47" s="20" t="n">
        <v>0.39965249</v>
      </c>
    </row>
    <row r="48" spans="1:18">
      <c r="A48" s="15" t="s">
        <v>390</v>
      </c>
      <c r="B48" s="17" t="n">
        <v>4682</v>
      </c>
      <c r="C48" s="18">
        <f>(4107.0/B48*100)</f>
        <v/>
      </c>
      <c r="D48" s="19" t="n">
        <v>575</v>
      </c>
      <c r="E48" s="18" t="n">
        <v>23.23336522</v>
      </c>
      <c r="F48" s="20" t="n">
        <v>2.46822421</v>
      </c>
      <c r="G48" s="18" t="n">
        <v>76.20765086</v>
      </c>
      <c r="H48" s="20" t="n">
        <v>2.45770214</v>
      </c>
      <c r="I48" s="18" t="s">
        <v>349</v>
      </c>
      <c r="J48" s="20" t="s">
        <v>349</v>
      </c>
      <c r="K48" s="18" t="n">
        <v>0.0498353</v>
      </c>
      <c r="L48" s="20" t="n">
        <v>0.04942934</v>
      </c>
      <c r="M48" s="18" t="n">
        <v>0</v>
      </c>
      <c r="N48" s="20" t="n">
        <v>0</v>
      </c>
      <c r="O48" s="18" t="n">
        <v>0</v>
      </c>
      <c r="P48" s="20" t="n">
        <v>0</v>
      </c>
      <c r="Q48" s="18" t="n">
        <v>0.50914861</v>
      </c>
      <c r="R48" s="20" t="n">
        <v>0.35772732</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(5409.0/B50*100)</f>
        <v/>
      </c>
      <c r="D50" s="19" t="n">
        <v>749</v>
      </c>
      <c r="E50" s="18" t="n">
        <v>68.55762883</v>
      </c>
      <c r="F50" s="20" t="n">
        <v>1.99726184</v>
      </c>
      <c r="G50" s="18" t="n">
        <v>30.68374944</v>
      </c>
      <c r="H50" s="20" t="n">
        <v>2.02461027</v>
      </c>
      <c r="I50" s="18" t="s">
        <v>349</v>
      </c>
      <c r="J50" s="20" t="s">
        <v>349</v>
      </c>
      <c r="K50" s="18" t="n">
        <v>0.4030385</v>
      </c>
      <c r="L50" s="20" t="n">
        <v>0.3215291</v>
      </c>
      <c r="M50" s="18" t="n">
        <v>0</v>
      </c>
      <c r="N50" s="20" t="n">
        <v>0</v>
      </c>
      <c r="O50" s="18" t="n">
        <v>0</v>
      </c>
      <c r="P50" s="20" t="n">
        <v>0</v>
      </c>
      <c r="Q50" s="18" t="n">
        <v>0.35558323</v>
      </c>
      <c r="R50" s="20" t="n">
        <v>0.22678351</v>
      </c>
    </row>
    <row r="51" spans="1:18">
      <c r="A51" s="15" t="s">
        <v>393</v>
      </c>
      <c r="B51" s="17" t="n">
        <v>3494</v>
      </c>
      <c r="C51" s="18">
        <f>(2788.0/B51*100)</f>
        <v/>
      </c>
      <c r="D51" s="19" t="n">
        <v>706</v>
      </c>
      <c r="E51" s="18" t="n">
        <v>66.86365275999999</v>
      </c>
      <c r="F51" s="20" t="n">
        <v>2.19368973</v>
      </c>
      <c r="G51" s="18" t="n">
        <v>32.24202589</v>
      </c>
      <c r="H51" s="20" t="n">
        <v>2.19364469</v>
      </c>
      <c r="I51" s="18" t="s">
        <v>349</v>
      </c>
      <c r="J51" s="20" t="s">
        <v>349</v>
      </c>
      <c r="K51" s="18" t="n">
        <v>0.30481895</v>
      </c>
      <c r="L51" s="20" t="n">
        <v>0.21829881</v>
      </c>
      <c r="M51" s="18" t="n">
        <v>0</v>
      </c>
      <c r="N51" s="20" t="n">
        <v>0</v>
      </c>
      <c r="O51" s="18" t="n">
        <v>0</v>
      </c>
      <c r="P51" s="20" t="n">
        <v>0</v>
      </c>
      <c r="Q51" s="18" t="n">
        <v>0.5895024</v>
      </c>
      <c r="R51" s="20" t="n">
        <v>0.30461058</v>
      </c>
    </row>
    <row r="52" spans="1:18">
      <c r="A52" s="15" t="s">
        <v>394</v>
      </c>
      <c r="B52" s="17" t="n">
        <v>3013</v>
      </c>
      <c r="C52" s="18">
        <f>(2644.0/B52*100)</f>
        <v/>
      </c>
      <c r="D52" s="19" t="n">
        <v>369</v>
      </c>
      <c r="E52" s="18" t="n">
        <v>41.24019411</v>
      </c>
      <c r="F52" s="20" t="n">
        <v>2.19472475</v>
      </c>
      <c r="G52" s="18" t="n">
        <v>58.10675628</v>
      </c>
      <c r="H52" s="20" t="n">
        <v>2.25092029</v>
      </c>
      <c r="I52" s="18" t="s">
        <v>349</v>
      </c>
      <c r="J52" s="20" t="s">
        <v>349</v>
      </c>
      <c r="K52" s="18" t="n">
        <v>0</v>
      </c>
      <c r="L52" s="20" t="n">
        <v>0</v>
      </c>
      <c r="M52" s="18" t="n">
        <v>0</v>
      </c>
      <c r="N52" s="20" t="n">
        <v>0</v>
      </c>
      <c r="O52" s="18" t="n">
        <v>0</v>
      </c>
      <c r="P52" s="20" t="n">
        <v>0</v>
      </c>
      <c r="Q52" s="18" t="n">
        <v>0.6530496099999999</v>
      </c>
      <c r="R52" s="20" t="n">
        <v>0.45973845</v>
      </c>
    </row>
    <row r="53" spans="1:18">
      <c r="A53" s="15" t="s">
        <v>395</v>
      </c>
      <c r="B53" s="17" t="n">
        <v>2760</v>
      </c>
      <c r="C53" s="18">
        <f>(2408.0/B53*100)</f>
        <v/>
      </c>
      <c r="D53" s="19" t="n">
        <v>352</v>
      </c>
      <c r="E53" s="18" t="n">
        <v>49.70429552</v>
      </c>
      <c r="F53" s="20" t="n">
        <v>2.94254843</v>
      </c>
      <c r="G53" s="18" t="n">
        <v>49.98359544</v>
      </c>
      <c r="H53" s="20" t="n">
        <v>2.95789317</v>
      </c>
      <c r="I53" s="18" t="s">
        <v>349</v>
      </c>
      <c r="J53" s="20" t="s">
        <v>349</v>
      </c>
      <c r="K53" s="18" t="n">
        <v>0</v>
      </c>
      <c r="L53" s="20" t="n">
        <v>0</v>
      </c>
      <c r="M53" s="18" t="n">
        <v>0</v>
      </c>
      <c r="N53" s="20" t="n">
        <v>0</v>
      </c>
      <c r="O53" s="18" t="n">
        <v>0</v>
      </c>
      <c r="P53" s="20" t="n">
        <v>0</v>
      </c>
      <c r="Q53" s="18" t="n">
        <v>0.31210904</v>
      </c>
      <c r="R53" s="20" t="n">
        <v>0.31049845</v>
      </c>
    </row>
    <row r="54" spans="1:18">
      <c r="A54" s="15" t="s">
        <v>396</v>
      </c>
      <c r="B54" s="17" t="n">
        <v>2474</v>
      </c>
      <c r="C54" s="18">
        <f>(2040.0/B54*100)</f>
        <v/>
      </c>
      <c r="D54" s="19" t="n">
        <v>434</v>
      </c>
      <c r="E54" s="18" t="n">
        <v>73.62394152</v>
      </c>
      <c r="F54" s="20" t="n">
        <v>2.49255234</v>
      </c>
      <c r="G54" s="18" t="n">
        <v>17.660415</v>
      </c>
      <c r="H54" s="20" t="n">
        <v>1.71020641</v>
      </c>
      <c r="I54" s="18" t="s">
        <v>349</v>
      </c>
      <c r="J54" s="20" t="s">
        <v>349</v>
      </c>
      <c r="K54" s="18" t="n">
        <v>5.32642796</v>
      </c>
      <c r="L54" s="20" t="n">
        <v>1.23071798</v>
      </c>
      <c r="M54" s="18" t="n">
        <v>0</v>
      </c>
      <c r="N54" s="20" t="n">
        <v>0</v>
      </c>
      <c r="O54" s="18" t="n">
        <v>0</v>
      </c>
      <c r="P54" s="20" t="n">
        <v>0</v>
      </c>
      <c r="Q54" s="18" t="n">
        <v>3.38921553</v>
      </c>
      <c r="R54" s="20" t="n">
        <v>1.10040812</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(2339.0/B56*100)</f>
        <v/>
      </c>
      <c r="D56" s="19" t="n">
        <v>336</v>
      </c>
      <c r="E56" s="18" t="n">
        <v>19.00886655</v>
      </c>
      <c r="F56" s="20" t="n">
        <v>2.19839342</v>
      </c>
      <c r="G56" s="18" t="n">
        <v>80.99113345000001</v>
      </c>
      <c r="H56" s="20" t="n">
        <v>2.19839342</v>
      </c>
      <c r="I56" s="18" t="s">
        <v>349</v>
      </c>
      <c r="J56" s="20" t="s">
        <v>349</v>
      </c>
      <c r="K56" s="18" t="n">
        <v>0</v>
      </c>
      <c r="L56" s="20" t="n">
        <v>0</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(2799.0/B61*100)</f>
        <v/>
      </c>
      <c r="D61" s="19" t="n">
        <v>402</v>
      </c>
      <c r="E61" s="18" t="n">
        <v>24.71811818</v>
      </c>
      <c r="F61" s="20" t="n">
        <v>2.14403214</v>
      </c>
      <c r="G61" s="18" t="n">
        <v>74.39317857</v>
      </c>
      <c r="H61" s="20" t="n">
        <v>2.20078921</v>
      </c>
      <c r="I61" s="18" t="s">
        <v>349</v>
      </c>
      <c r="J61" s="20" t="s">
        <v>349</v>
      </c>
      <c r="K61" s="18" t="n">
        <v>0.72120351</v>
      </c>
      <c r="L61" s="20" t="n">
        <v>0.70637302</v>
      </c>
      <c r="M61" s="18" t="n">
        <v>0</v>
      </c>
      <c r="N61" s="20" t="n">
        <v>0</v>
      </c>
      <c r="O61" s="18" t="n">
        <v>0</v>
      </c>
      <c r="P61" s="20" t="n">
        <v>0</v>
      </c>
      <c r="Q61" s="18" t="n">
        <v>0.16749973</v>
      </c>
      <c r="R61" s="20" t="n">
        <v>0.13944085</v>
      </c>
    </row>
    <row r="62" spans="1:18">
      <c r="A62" s="15" t="s">
        <v>404</v>
      </c>
      <c r="B62" s="17" t="n">
        <v>2230</v>
      </c>
      <c r="C62" s="18">
        <f>(1973.0/B62*100)</f>
        <v/>
      </c>
      <c r="D62" s="19" t="n">
        <v>257</v>
      </c>
      <c r="E62" s="18" t="n">
        <v>16.10173697</v>
      </c>
      <c r="F62" s="20" t="n">
        <v>2.46810623</v>
      </c>
      <c r="G62" s="18" t="n">
        <v>83.89826303</v>
      </c>
      <c r="H62" s="20" t="n">
        <v>2.46810623</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(2437.0/B66*100)</f>
        <v/>
      </c>
      <c r="D66" s="19" t="n">
        <v>334</v>
      </c>
      <c r="E66" s="18" t="n">
        <v>51.59028224</v>
      </c>
      <c r="F66" s="20" t="n">
        <v>3.13903163</v>
      </c>
      <c r="G66" s="18" t="n">
        <v>47.52266</v>
      </c>
      <c r="H66" s="20" t="n">
        <v>3.11134596</v>
      </c>
      <c r="I66" s="18" t="s">
        <v>349</v>
      </c>
      <c r="J66" s="20" t="s">
        <v>349</v>
      </c>
      <c r="K66" s="18" t="n">
        <v>0.38476672</v>
      </c>
      <c r="L66" s="20" t="n">
        <v>0.38217617</v>
      </c>
      <c r="M66" s="18" t="n">
        <v>0</v>
      </c>
      <c r="N66" s="20" t="n">
        <v>0</v>
      </c>
      <c r="O66" s="18" t="n">
        <v>0</v>
      </c>
      <c r="P66" s="20" t="n">
        <v>0</v>
      </c>
      <c r="Q66" s="18" t="n">
        <v>0.50229104</v>
      </c>
      <c r="R66" s="20" t="n">
        <v>0.35927697</v>
      </c>
    </row>
    <row r="67" spans="1:18">
      <c r="A67" s="15" t="s">
        <v>409</v>
      </c>
      <c r="B67" s="17" t="n">
        <v>3460</v>
      </c>
      <c r="C67" s="18">
        <f>(3040.0/B67*100)</f>
        <v/>
      </c>
      <c r="D67" s="19" t="n">
        <v>420</v>
      </c>
      <c r="E67" s="18" t="n">
        <v>68.11041947</v>
      </c>
      <c r="F67" s="20" t="n">
        <v>2.25668371</v>
      </c>
      <c r="G67" s="18" t="n">
        <v>31.28926004</v>
      </c>
      <c r="H67" s="20" t="n">
        <v>2.22485876</v>
      </c>
      <c r="I67" s="18" t="s">
        <v>349</v>
      </c>
      <c r="J67" s="20" t="s">
        <v>349</v>
      </c>
      <c r="K67" s="18" t="n">
        <v>0</v>
      </c>
      <c r="L67" s="20" t="n">
        <v>0</v>
      </c>
      <c r="M67" s="18" t="n">
        <v>0</v>
      </c>
      <c r="N67" s="20" t="n">
        <v>0</v>
      </c>
      <c r="O67" s="18" t="n">
        <v>0</v>
      </c>
      <c r="P67" s="20" t="n">
        <v>0</v>
      </c>
      <c r="Q67" s="18" t="n">
        <v>0.6003205</v>
      </c>
      <c r="R67" s="20" t="n">
        <v>0.33936478</v>
      </c>
    </row>
    <row r="68" spans="1:18">
      <c r="A68" s="15" t="s">
        <v>410</v>
      </c>
      <c r="B68" s="17" t="n">
        <v>6034</v>
      </c>
      <c r="C68" s="18">
        <f>(5038.0/B68*100)</f>
        <v/>
      </c>
      <c r="D68" s="19" t="n">
        <v>996</v>
      </c>
      <c r="E68" s="18" t="n">
        <v>56.0552204</v>
      </c>
      <c r="F68" s="20" t="n">
        <v>1.48993239</v>
      </c>
      <c r="G68" s="18" t="n">
        <v>43.45819848</v>
      </c>
      <c r="H68" s="20" t="n">
        <v>1.45259762</v>
      </c>
      <c r="I68" s="18" t="s">
        <v>349</v>
      </c>
      <c r="J68" s="20" t="s">
        <v>349</v>
      </c>
      <c r="K68" s="18" t="n">
        <v>0.28996611</v>
      </c>
      <c r="L68" s="20" t="n">
        <v>0.16672492</v>
      </c>
      <c r="M68" s="18" t="n">
        <v>0</v>
      </c>
      <c r="N68" s="20" t="n">
        <v>0</v>
      </c>
      <c r="O68" s="18" t="n">
        <v>0</v>
      </c>
      <c r="P68" s="20" t="n">
        <v>0</v>
      </c>
      <c r="Q68" s="18" t="n">
        <v>0.19661501</v>
      </c>
      <c r="R68" s="20" t="n">
        <v>0.13866162</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(2750.0/B70*100)</f>
        <v/>
      </c>
      <c r="D70" s="19" t="n">
        <v>357</v>
      </c>
      <c r="E70" s="18" t="n">
        <v>36.10796405</v>
      </c>
      <c r="F70" s="20" t="n">
        <v>2.70765283</v>
      </c>
      <c r="G70" s="18" t="n">
        <v>63.31506969</v>
      </c>
      <c r="H70" s="20" t="n">
        <v>2.70378142</v>
      </c>
      <c r="I70" s="18" t="s">
        <v>349</v>
      </c>
      <c r="J70" s="20" t="s">
        <v>349</v>
      </c>
      <c r="K70" s="18" t="n">
        <v>0.22167848</v>
      </c>
      <c r="L70" s="20" t="n">
        <v>0.21915444</v>
      </c>
      <c r="M70" s="18" t="n">
        <v>0</v>
      </c>
      <c r="N70" s="20" t="n">
        <v>0</v>
      </c>
      <c r="O70" s="18" t="n">
        <v>0</v>
      </c>
      <c r="P70" s="20" t="n">
        <v>0</v>
      </c>
      <c r="Q70" s="18" t="n">
        <v>0.35528778</v>
      </c>
      <c r="R70" s="20" t="n">
        <v>0.25639084</v>
      </c>
    </row>
    <row r="71" spans="1:18">
      <c r="A71" s="15" t="s">
        <v>413</v>
      </c>
      <c r="B71" s="17" t="n">
        <v>2973</v>
      </c>
      <c r="C71" s="18">
        <f>(2594.0/B71*100)</f>
        <v/>
      </c>
      <c r="D71" s="19" t="n">
        <v>379</v>
      </c>
      <c r="E71" s="18" t="n">
        <v>19.6550162</v>
      </c>
      <c r="F71" s="20" t="n">
        <v>1.88694402</v>
      </c>
      <c r="G71" s="18" t="n">
        <v>80.04281425000001</v>
      </c>
      <c r="H71" s="20" t="n">
        <v>1.9501611</v>
      </c>
      <c r="I71" s="18" t="s">
        <v>349</v>
      </c>
      <c r="J71" s="20" t="s">
        <v>349</v>
      </c>
      <c r="K71" s="18" t="n">
        <v>0.30216956</v>
      </c>
      <c r="L71" s="20" t="n">
        <v>0.30056096</v>
      </c>
      <c r="M71" s="18" t="n">
        <v>0</v>
      </c>
      <c r="N71" s="20" t="n">
        <v>0</v>
      </c>
      <c r="O71" s="18" t="n">
        <v>0</v>
      </c>
      <c r="P71" s="20" t="n">
        <v>0</v>
      </c>
      <c r="Q71" s="18" t="n">
        <v>0</v>
      </c>
      <c r="R71" s="20" t="n">
        <v>0</v>
      </c>
    </row>
    <row r="72" spans="1:18">
      <c r="A72" s="15" t="s">
        <v>414</v>
      </c>
      <c r="B72" s="17" t="n">
        <v>3819</v>
      </c>
      <c r="C72" s="18">
        <f>(3329.0/B72*100)</f>
        <v/>
      </c>
      <c r="D72" s="19" t="n">
        <v>490</v>
      </c>
      <c r="E72" s="18" t="n">
        <v>18.91833208</v>
      </c>
      <c r="F72" s="20" t="n">
        <v>1.87240165</v>
      </c>
      <c r="G72" s="18" t="n">
        <v>80.69647578999999</v>
      </c>
      <c r="H72" s="20" t="n">
        <v>1.90484707</v>
      </c>
      <c r="I72" s="18" t="s">
        <v>349</v>
      </c>
      <c r="J72" s="20" t="s">
        <v>349</v>
      </c>
      <c r="K72" s="18" t="n">
        <v>0.22178018</v>
      </c>
      <c r="L72" s="20" t="n">
        <v>0.22147429</v>
      </c>
      <c r="M72" s="18" t="n">
        <v>0</v>
      </c>
      <c r="N72" s="20" t="n">
        <v>0</v>
      </c>
      <c r="O72" s="18" t="n">
        <v>0</v>
      </c>
      <c r="P72" s="20" t="n">
        <v>0</v>
      </c>
      <c r="Q72" s="18" t="n">
        <v>0.16341196</v>
      </c>
      <c r="R72" s="20" t="n">
        <v>0.16343582</v>
      </c>
    </row>
    <row r="73" spans="1:18">
      <c r="A73" s="15" t="s">
        <v>415</v>
      </c>
      <c r="B73" s="17" t="n">
        <v>4652</v>
      </c>
      <c r="C73" s="18">
        <f>(4087.0/B73*100)</f>
        <v/>
      </c>
      <c r="D73" s="19" t="n">
        <v>565</v>
      </c>
      <c r="E73" s="18" t="n">
        <v>57.2637916</v>
      </c>
      <c r="F73" s="20" t="n">
        <v>2.48043624</v>
      </c>
      <c r="G73" s="18" t="n">
        <v>42.40569365</v>
      </c>
      <c r="H73" s="20" t="n">
        <v>2.44779047</v>
      </c>
      <c r="I73" s="18" t="s">
        <v>349</v>
      </c>
      <c r="J73" s="20" t="s">
        <v>349</v>
      </c>
      <c r="K73" s="18" t="n">
        <v>0</v>
      </c>
      <c r="L73" s="20" t="n">
        <v>0</v>
      </c>
      <c r="M73" s="18" t="n">
        <v>0</v>
      </c>
      <c r="N73" s="20" t="n">
        <v>0</v>
      </c>
      <c r="O73" s="18" t="n">
        <v>0</v>
      </c>
      <c r="P73" s="20" t="n">
        <v>0</v>
      </c>
      <c r="Q73" s="18" t="n">
        <v>0.33051475</v>
      </c>
      <c r="R73" s="20" t="n">
        <v>0.3255962</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(2616.0/B75*100)</f>
        <v/>
      </c>
      <c r="D75" s="19" t="n">
        <v>353</v>
      </c>
      <c r="E75" s="18" t="n">
        <v>54.79325914</v>
      </c>
      <c r="F75" s="20" t="n">
        <v>2.82368372</v>
      </c>
      <c r="G75" s="18" t="n">
        <v>43.17856103</v>
      </c>
      <c r="H75" s="20" t="n">
        <v>2.77553286</v>
      </c>
      <c r="I75" s="18" t="s">
        <v>349</v>
      </c>
      <c r="J75" s="20" t="s">
        <v>349</v>
      </c>
      <c r="K75" s="18" t="n">
        <v>1.70793008</v>
      </c>
      <c r="L75" s="20" t="n">
        <v>0.66776107</v>
      </c>
      <c r="M75" s="18" t="n">
        <v>0</v>
      </c>
      <c r="N75" s="20" t="n">
        <v>0</v>
      </c>
      <c r="O75" s="18" t="n">
        <v>0</v>
      </c>
      <c r="P75" s="20" t="n">
        <v>0</v>
      </c>
      <c r="Q75" s="18" t="n">
        <v>0.32024975</v>
      </c>
      <c r="R75" s="20" t="n">
        <v>0.3208607</v>
      </c>
    </row>
    <row r="76" spans="1:18">
      <c r="A76" s="15" t="s">
        <v>418</v>
      </c>
      <c r="B76" s="17" t="n">
        <v>7115</v>
      </c>
      <c r="C76" s="18">
        <f>(6231.0/B76*100)</f>
        <v/>
      </c>
      <c r="D76" s="19" t="n">
        <v>884</v>
      </c>
      <c r="E76" s="18" t="n">
        <v>46.07942676</v>
      </c>
      <c r="F76" s="20" t="n">
        <v>2.23222908</v>
      </c>
      <c r="G76" s="18" t="n">
        <v>53.79626416</v>
      </c>
      <c r="H76" s="20" t="n">
        <v>2.21200699</v>
      </c>
      <c r="I76" s="18" t="s">
        <v>349</v>
      </c>
      <c r="J76" s="20" t="s">
        <v>349</v>
      </c>
      <c r="K76" s="18" t="n">
        <v>0</v>
      </c>
      <c r="L76" s="20" t="n">
        <v>0</v>
      </c>
      <c r="M76" s="18" t="n">
        <v>0</v>
      </c>
      <c r="N76" s="20" t="n">
        <v>0</v>
      </c>
      <c r="O76" s="18" t="n">
        <v>0</v>
      </c>
      <c r="P76" s="20" t="n">
        <v>0</v>
      </c>
      <c r="Q76" s="18" t="n">
        <v>0.12430908</v>
      </c>
      <c r="R76" s="20" t="n">
        <v>0.12384304</v>
      </c>
    </row>
    <row r="77" spans="1:18">
      <c r="A77" s="15" t="s">
        <v>419</v>
      </c>
      <c r="B77" s="17" t="n">
        <v>3154</v>
      </c>
      <c r="C77" s="18">
        <f>(2763.0/B77*100)</f>
        <v/>
      </c>
      <c r="D77" s="19" t="n">
        <v>391</v>
      </c>
      <c r="E77" s="18" t="n">
        <v>57.43815836</v>
      </c>
      <c r="F77" s="20" t="n">
        <v>2.73301556</v>
      </c>
      <c r="G77" s="18" t="n">
        <v>41.20669331</v>
      </c>
      <c r="H77" s="20" t="n">
        <v>2.79797119</v>
      </c>
      <c r="I77" s="18" t="s">
        <v>349</v>
      </c>
      <c r="J77" s="20" t="s">
        <v>349</v>
      </c>
      <c r="K77" s="18" t="n">
        <v>0.22763917</v>
      </c>
      <c r="L77" s="20" t="n">
        <v>0.21301151</v>
      </c>
      <c r="M77" s="18" t="n">
        <v>0</v>
      </c>
      <c r="N77" s="20" t="n">
        <v>0</v>
      </c>
      <c r="O77" s="18" t="n">
        <v>0</v>
      </c>
      <c r="P77" s="20" t="n">
        <v>0</v>
      </c>
      <c r="Q77" s="18" t="n">
        <v>1.12750916</v>
      </c>
      <c r="R77" s="20" t="n">
        <v>0.49926622</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(4101.0/B81*100)</f>
        <v/>
      </c>
      <c r="D81" s="19" t="n">
        <v>597</v>
      </c>
      <c r="E81" s="18" t="n">
        <v>36.02601793</v>
      </c>
      <c r="F81" s="20" t="n">
        <v>2.17888068</v>
      </c>
      <c r="G81" s="18" t="n">
        <v>63.72244507</v>
      </c>
      <c r="H81" s="20" t="n">
        <v>2.22513058</v>
      </c>
      <c r="I81" s="18" t="s">
        <v>349</v>
      </c>
      <c r="J81" s="20" t="s">
        <v>349</v>
      </c>
      <c r="K81" s="18" t="n">
        <v>0</v>
      </c>
      <c r="L81" s="20" t="n">
        <v>0</v>
      </c>
      <c r="M81" s="18" t="n">
        <v>0</v>
      </c>
      <c r="N81" s="20" t="n">
        <v>0</v>
      </c>
      <c r="O81" s="18" t="n">
        <v>0</v>
      </c>
      <c r="P81" s="20" t="n">
        <v>0</v>
      </c>
      <c r="Q81" s="18" t="n">
        <v>0.251537</v>
      </c>
      <c r="R81" s="20" t="n">
        <v>0.23882844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(6279.0/B7*100)</f>
        <v/>
      </c>
      <c r="D7" s="19" t="n">
        <v>884</v>
      </c>
      <c r="E7" s="18" t="n">
        <v>69.9563138</v>
      </c>
      <c r="F7" s="20" t="n">
        <v>1.75101235</v>
      </c>
      <c r="G7" s="18" t="n">
        <v>29.72486696</v>
      </c>
      <c r="H7" s="20" t="n">
        <v>1.76902328</v>
      </c>
      <c r="I7" s="18" t="s">
        <v>349</v>
      </c>
      <c r="J7" s="20" t="s">
        <v>349</v>
      </c>
      <c r="K7" s="18" t="n">
        <v>0.08406829</v>
      </c>
      <c r="L7" s="20" t="n">
        <v>0.08222432</v>
      </c>
      <c r="M7" s="18" t="n">
        <v>0</v>
      </c>
      <c r="N7" s="20" t="n">
        <v>0</v>
      </c>
      <c r="O7" s="18" t="n">
        <v>0</v>
      </c>
      <c r="P7" s="20" t="n">
        <v>0</v>
      </c>
      <c r="Q7" s="18" t="n">
        <v>0.23475096</v>
      </c>
      <c r="R7" s="20" t="n">
        <v>0.11419303</v>
      </c>
    </row>
    <row r="8" spans="1:18">
      <c r="A8" s="15" t="s">
        <v>350</v>
      </c>
      <c r="B8" s="17" t="n">
        <v>3443</v>
      </c>
      <c r="C8" s="18">
        <f>(3004.0/B8*100)</f>
        <v/>
      </c>
      <c r="D8" s="19" t="n">
        <v>439</v>
      </c>
      <c r="E8" s="18" t="n">
        <v>76.37942769</v>
      </c>
      <c r="F8" s="20" t="n">
        <v>2.23827683</v>
      </c>
      <c r="G8" s="18" t="n">
        <v>22.28489944</v>
      </c>
      <c r="H8" s="20" t="n">
        <v>2.2111344</v>
      </c>
      <c r="I8" s="18" t="s">
        <v>349</v>
      </c>
      <c r="J8" s="20" t="s">
        <v>349</v>
      </c>
      <c r="K8" s="18" t="n">
        <v>0.08132134000000001</v>
      </c>
      <c r="L8" s="20" t="n">
        <v>0.08124252999999999</v>
      </c>
      <c r="M8" s="18" t="n">
        <v>0</v>
      </c>
      <c r="N8" s="20" t="n">
        <v>0</v>
      </c>
      <c r="O8" s="18" t="n">
        <v>0</v>
      </c>
      <c r="P8" s="20" t="n">
        <v>0</v>
      </c>
      <c r="Q8" s="18" t="n">
        <v>1.25435152</v>
      </c>
      <c r="R8" s="20" t="n">
        <v>0.53433158</v>
      </c>
    </row>
    <row r="9" spans="1:18">
      <c r="A9" s="15" t="s">
        <v>351</v>
      </c>
      <c r="B9" s="17" t="n">
        <v>4752</v>
      </c>
      <c r="C9" s="18">
        <f>(4077.0/B9*100)</f>
        <v/>
      </c>
      <c r="D9" s="19" t="n">
        <v>675</v>
      </c>
      <c r="E9" s="18" t="n">
        <v>61.31256565</v>
      </c>
      <c r="F9" s="20" t="n">
        <v>2.09168983</v>
      </c>
      <c r="G9" s="18" t="n">
        <v>35.54340799</v>
      </c>
      <c r="H9" s="20" t="n">
        <v>2.03415976</v>
      </c>
      <c r="I9" s="18" t="s">
        <v>349</v>
      </c>
      <c r="J9" s="20" t="s">
        <v>349</v>
      </c>
      <c r="K9" s="18" t="n">
        <v>2.05387111</v>
      </c>
      <c r="L9" s="20" t="n">
        <v>0.62447023</v>
      </c>
      <c r="M9" s="18" t="n">
        <v>0</v>
      </c>
      <c r="N9" s="20" t="n">
        <v>0</v>
      </c>
      <c r="O9" s="18" t="n">
        <v>0</v>
      </c>
      <c r="P9" s="20" t="n">
        <v>0</v>
      </c>
      <c r="Q9" s="18" t="n">
        <v>1.09015525</v>
      </c>
      <c r="R9" s="20" t="n">
        <v>0.47608096</v>
      </c>
    </row>
    <row r="10" spans="1:18">
      <c r="A10" s="15" t="s">
        <v>352</v>
      </c>
      <c r="B10" s="17" t="n">
        <v>10022</v>
      </c>
      <c r="C10" s="18">
        <f>(8752.0/B10*100)</f>
        <v/>
      </c>
      <c r="D10" s="19" t="n">
        <v>1270</v>
      </c>
      <c r="E10" s="18" t="n">
        <v>63.32341362</v>
      </c>
      <c r="F10" s="20" t="n">
        <v>1.83108879</v>
      </c>
      <c r="G10" s="18" t="n">
        <v>36.4632307</v>
      </c>
      <c r="H10" s="20" t="n">
        <v>1.82425294</v>
      </c>
      <c r="I10" s="18" t="s">
        <v>349</v>
      </c>
      <c r="J10" s="20" t="s">
        <v>349</v>
      </c>
      <c r="K10" s="18" t="n">
        <v>0.02487766</v>
      </c>
      <c r="L10" s="20" t="n">
        <v>0.0209104</v>
      </c>
      <c r="M10" s="18" t="n">
        <v>0</v>
      </c>
      <c r="N10" s="20" t="n">
        <v>0</v>
      </c>
      <c r="O10" s="18" t="n">
        <v>0</v>
      </c>
      <c r="P10" s="20" t="n">
        <v>0</v>
      </c>
      <c r="Q10" s="18" t="n">
        <v>0.18847802</v>
      </c>
      <c r="R10" s="20" t="n">
        <v>0.17159325</v>
      </c>
    </row>
    <row r="11" spans="1:18">
      <c r="A11" s="15" t="s">
        <v>353</v>
      </c>
      <c r="B11" s="17" t="n">
        <v>3500</v>
      </c>
      <c r="C11" s="18">
        <f>(3075.0/B11*100)</f>
        <v/>
      </c>
      <c r="D11" s="19" t="n">
        <v>425</v>
      </c>
      <c r="E11" s="18" t="n">
        <v>81.87713282</v>
      </c>
      <c r="F11" s="20" t="n">
        <v>2.23624725</v>
      </c>
      <c r="G11" s="18" t="n">
        <v>16.79862654</v>
      </c>
      <c r="H11" s="20" t="n">
        <v>2.18535213</v>
      </c>
      <c r="I11" s="18" t="s">
        <v>349</v>
      </c>
      <c r="J11" s="20" t="s">
        <v>349</v>
      </c>
      <c r="K11" s="18" t="n">
        <v>0.28227095</v>
      </c>
      <c r="L11" s="20" t="n">
        <v>0.27987192</v>
      </c>
      <c r="M11" s="18" t="n">
        <v>0</v>
      </c>
      <c r="N11" s="20" t="n">
        <v>0</v>
      </c>
      <c r="O11" s="18" t="n">
        <v>0</v>
      </c>
      <c r="P11" s="20" t="n">
        <v>0</v>
      </c>
      <c r="Q11" s="18" t="n">
        <v>1.04196969</v>
      </c>
      <c r="R11" s="20" t="n">
        <v>0.46661662</v>
      </c>
    </row>
    <row r="12" spans="1:18">
      <c r="A12" s="15" t="s">
        <v>354</v>
      </c>
      <c r="B12" s="17" t="n">
        <v>3422</v>
      </c>
      <c r="C12" s="18">
        <f>(2991.0/B12*100)</f>
        <v/>
      </c>
      <c r="D12" s="19" t="n">
        <v>431</v>
      </c>
      <c r="E12" s="18" t="n">
        <v>69.73425005</v>
      </c>
      <c r="F12" s="20" t="n">
        <v>2.28553349</v>
      </c>
      <c r="G12" s="18" t="n">
        <v>29.73283441</v>
      </c>
      <c r="H12" s="20" t="n">
        <v>2.26823003</v>
      </c>
      <c r="I12" s="18" t="s">
        <v>349</v>
      </c>
      <c r="J12" s="20" t="s">
        <v>349</v>
      </c>
      <c r="K12" s="18" t="n">
        <v>0</v>
      </c>
      <c r="L12" s="20" t="n">
        <v>0</v>
      </c>
      <c r="M12" s="18" t="n">
        <v>0</v>
      </c>
      <c r="N12" s="20" t="n">
        <v>0</v>
      </c>
      <c r="O12" s="18" t="n">
        <v>0</v>
      </c>
      <c r="P12" s="20" t="n">
        <v>0</v>
      </c>
      <c r="Q12" s="18" t="n">
        <v>0.53291554</v>
      </c>
      <c r="R12" s="20" t="n">
        <v>0.46154449</v>
      </c>
    </row>
    <row r="13" spans="1:18">
      <c r="A13" s="15" t="s">
        <v>355</v>
      </c>
      <c r="B13" s="17" t="n">
        <v>3602</v>
      </c>
      <c r="C13" s="18">
        <f>(3019.0/B13*100)</f>
        <v/>
      </c>
      <c r="D13" s="19" t="n">
        <v>583</v>
      </c>
      <c r="E13" s="18" t="n">
        <v>81.51021618999999</v>
      </c>
      <c r="F13" s="20" t="n">
        <v>1.72517339</v>
      </c>
      <c r="G13" s="18" t="n">
        <v>16.33628212</v>
      </c>
      <c r="H13" s="20" t="n">
        <v>1.74918053</v>
      </c>
      <c r="I13" s="18" t="s">
        <v>349</v>
      </c>
      <c r="J13" s="20" t="s">
        <v>349</v>
      </c>
      <c r="K13" s="18" t="n">
        <v>0.93608371</v>
      </c>
      <c r="L13" s="20" t="n">
        <v>0.45410271</v>
      </c>
      <c r="M13" s="18" t="n">
        <v>0</v>
      </c>
      <c r="N13" s="20" t="n">
        <v>0</v>
      </c>
      <c r="O13" s="18" t="n">
        <v>0</v>
      </c>
      <c r="P13" s="20" t="n">
        <v>0</v>
      </c>
      <c r="Q13" s="18" t="n">
        <v>1.21741798</v>
      </c>
      <c r="R13" s="20" t="n">
        <v>0.43509136</v>
      </c>
    </row>
    <row r="14" spans="1:18">
      <c r="A14" s="15" t="s">
        <v>356</v>
      </c>
      <c r="B14" s="17" t="n">
        <v>2788</v>
      </c>
      <c r="C14" s="18">
        <f>(2456.0/B14*100)</f>
        <v/>
      </c>
      <c r="D14" s="19" t="n">
        <v>332</v>
      </c>
      <c r="E14" s="18" t="n">
        <v>59.15645076</v>
      </c>
      <c r="F14" s="20" t="n">
        <v>3.07153844</v>
      </c>
      <c r="G14" s="18" t="n">
        <v>40.84354924</v>
      </c>
      <c r="H14" s="20" t="n">
        <v>3.07153844</v>
      </c>
      <c r="I14" s="18" t="s">
        <v>349</v>
      </c>
      <c r="J14" s="20" t="s">
        <v>349</v>
      </c>
      <c r="K14" s="18" t="n">
        <v>0</v>
      </c>
      <c r="L14" s="20" t="n">
        <v>0</v>
      </c>
      <c r="M14" s="18" t="n">
        <v>0</v>
      </c>
      <c r="N14" s="20" t="n">
        <v>0</v>
      </c>
      <c r="O14" s="18" t="n">
        <v>0</v>
      </c>
      <c r="P14" s="20" t="n">
        <v>0</v>
      </c>
      <c r="Q14" s="18" t="n">
        <v>0</v>
      </c>
      <c r="R14" s="20" t="n">
        <v>0</v>
      </c>
    </row>
    <row r="15" spans="1:18">
      <c r="A15" s="15" t="s">
        <v>357</v>
      </c>
      <c r="B15" s="17" t="n">
        <v>2863</v>
      </c>
      <c r="C15" s="18">
        <f>(2504.0/B15*100)</f>
        <v/>
      </c>
      <c r="D15" s="19" t="n">
        <v>359</v>
      </c>
      <c r="E15" s="18" t="n">
        <v>81.60021394</v>
      </c>
      <c r="F15" s="20" t="n">
        <v>1.91703284</v>
      </c>
      <c r="G15" s="18" t="n">
        <v>16.72288485</v>
      </c>
      <c r="H15" s="20" t="n">
        <v>1.90951081</v>
      </c>
      <c r="I15" s="18" t="s">
        <v>349</v>
      </c>
      <c r="J15" s="20" t="s">
        <v>349</v>
      </c>
      <c r="K15" s="18" t="n">
        <v>0.86720337</v>
      </c>
      <c r="L15" s="20" t="n">
        <v>0.67304599</v>
      </c>
      <c r="M15" s="18" t="n">
        <v>0</v>
      </c>
      <c r="N15" s="20" t="n">
        <v>0</v>
      </c>
      <c r="O15" s="18" t="n">
        <v>0</v>
      </c>
      <c r="P15" s="20" t="n">
        <v>0</v>
      </c>
      <c r="Q15" s="18" t="n">
        <v>0.80969784</v>
      </c>
      <c r="R15" s="20" t="n">
        <v>0.5986254</v>
      </c>
    </row>
    <row r="16" spans="1:18">
      <c r="A16" s="15" t="s">
        <v>358</v>
      </c>
      <c r="B16" s="17" t="n">
        <v>3111</v>
      </c>
      <c r="C16" s="18">
        <f>(2738.0/B16*100)</f>
        <v/>
      </c>
      <c r="D16" s="19" t="n">
        <v>373</v>
      </c>
      <c r="E16" s="18" t="n">
        <v>55.6382382</v>
      </c>
      <c r="F16" s="20" t="n">
        <v>2.64684939</v>
      </c>
      <c r="G16" s="18" t="n">
        <v>43.61351126</v>
      </c>
      <c r="H16" s="20" t="n">
        <v>2.69456947</v>
      </c>
      <c r="I16" s="18" t="s">
        <v>349</v>
      </c>
      <c r="J16" s="20" t="s">
        <v>349</v>
      </c>
      <c r="K16" s="18" t="n">
        <v>0</v>
      </c>
      <c r="L16" s="20" t="n">
        <v>0</v>
      </c>
      <c r="M16" s="18" t="n">
        <v>0</v>
      </c>
      <c r="N16" s="20" t="n">
        <v>0</v>
      </c>
      <c r="O16" s="18" t="n">
        <v>0</v>
      </c>
      <c r="P16" s="20" t="n">
        <v>0</v>
      </c>
      <c r="Q16" s="18" t="n">
        <v>0.74825054</v>
      </c>
      <c r="R16" s="20" t="n">
        <v>0.5117014600000001</v>
      </c>
    </row>
    <row r="17" spans="1:18">
      <c r="A17" s="15" t="s">
        <v>359</v>
      </c>
      <c r="B17" s="17" t="n">
        <v>3197</v>
      </c>
      <c r="C17" s="18">
        <f>(2765.0/B17*100)</f>
        <v/>
      </c>
      <c r="D17" s="19" t="n">
        <v>432</v>
      </c>
      <c r="E17" s="18" t="n">
        <v>73.93038976</v>
      </c>
      <c r="F17" s="20" t="n">
        <v>2.3276692</v>
      </c>
      <c r="G17" s="18" t="n">
        <v>23.49891043</v>
      </c>
      <c r="H17" s="20" t="n">
        <v>2.30486035</v>
      </c>
      <c r="I17" s="18" t="s">
        <v>349</v>
      </c>
      <c r="J17" s="20" t="s">
        <v>349</v>
      </c>
      <c r="K17" s="18" t="n">
        <v>1.31851773</v>
      </c>
      <c r="L17" s="20" t="n">
        <v>0.54781167</v>
      </c>
      <c r="M17" s="18" t="n">
        <v>0</v>
      </c>
      <c r="N17" s="20" t="n">
        <v>0</v>
      </c>
      <c r="O17" s="18" t="n">
        <v>0</v>
      </c>
      <c r="P17" s="20" t="n">
        <v>0</v>
      </c>
      <c r="Q17" s="18" t="n">
        <v>1.25218209</v>
      </c>
      <c r="R17" s="20" t="n">
        <v>0.40135185</v>
      </c>
    </row>
    <row r="18" spans="1:18">
      <c r="A18" s="15" t="s">
        <v>360</v>
      </c>
      <c r="B18" s="17" t="n">
        <v>2706</v>
      </c>
      <c r="C18" s="18">
        <f>(2382.0/B18*100)</f>
        <v/>
      </c>
      <c r="D18" s="19" t="n">
        <v>324</v>
      </c>
      <c r="E18" s="18" t="n">
        <v>73.44285433</v>
      </c>
      <c r="F18" s="20" t="n">
        <v>2.81400744</v>
      </c>
      <c r="G18" s="18" t="n">
        <v>25.40602044</v>
      </c>
      <c r="H18" s="20" t="n">
        <v>2.89665929</v>
      </c>
      <c r="I18" s="18" t="s">
        <v>349</v>
      </c>
      <c r="J18" s="20" t="s">
        <v>349</v>
      </c>
      <c r="K18" s="18" t="n">
        <v>0</v>
      </c>
      <c r="L18" s="20" t="n">
        <v>0</v>
      </c>
      <c r="M18" s="18" t="n">
        <v>0</v>
      </c>
      <c r="N18" s="20" t="n">
        <v>0</v>
      </c>
      <c r="O18" s="18" t="n">
        <v>0</v>
      </c>
      <c r="P18" s="20" t="n">
        <v>0</v>
      </c>
      <c r="Q18" s="18" t="n">
        <v>1.15112523</v>
      </c>
      <c r="R18" s="20" t="n">
        <v>0.66743089</v>
      </c>
    </row>
    <row r="19" spans="1:18">
      <c r="A19" s="15" t="s">
        <v>361</v>
      </c>
      <c r="B19" s="17" t="n">
        <v>2850</v>
      </c>
      <c r="C19" s="18">
        <f>(2524.0/B19*100)</f>
        <v/>
      </c>
      <c r="D19" s="19" t="n">
        <v>326</v>
      </c>
      <c r="E19" s="18" t="n">
        <v>80.04773317</v>
      </c>
      <c r="F19" s="20" t="n">
        <v>2.5087819</v>
      </c>
      <c r="G19" s="18" t="n">
        <v>19.40719299</v>
      </c>
      <c r="H19" s="20" t="n">
        <v>2.42584249</v>
      </c>
      <c r="I19" s="18" t="s">
        <v>349</v>
      </c>
      <c r="J19" s="20" t="s">
        <v>349</v>
      </c>
      <c r="K19" s="18" t="n">
        <v>0</v>
      </c>
      <c r="L19" s="20" t="n">
        <v>0</v>
      </c>
      <c r="M19" s="18" t="n">
        <v>0</v>
      </c>
      <c r="N19" s="20" t="n">
        <v>0</v>
      </c>
      <c r="O19" s="18" t="n">
        <v>0</v>
      </c>
      <c r="P19" s="20" t="n">
        <v>0</v>
      </c>
      <c r="Q19" s="18" t="n">
        <v>0.54507384</v>
      </c>
      <c r="R19" s="20" t="n">
        <v>0.38430087</v>
      </c>
    </row>
    <row r="20" spans="1:18">
      <c r="A20" s="15" t="s">
        <v>362</v>
      </c>
      <c r="B20" s="17" t="n">
        <v>1741</v>
      </c>
      <c r="C20" s="18">
        <f>(1528.0/B20*100)</f>
        <v/>
      </c>
      <c r="D20" s="19" t="n">
        <v>213</v>
      </c>
      <c r="E20" s="18" t="n">
        <v>88.02142474999999</v>
      </c>
      <c r="F20" s="20" t="n">
        <v>2.31799785</v>
      </c>
      <c r="G20" s="18" t="n">
        <v>11.97857525</v>
      </c>
      <c r="H20" s="20" t="n">
        <v>2.31799785</v>
      </c>
      <c r="I20" s="18" t="s">
        <v>349</v>
      </c>
      <c r="J20" s="20" t="s">
        <v>349</v>
      </c>
      <c r="K20" s="18" t="n">
        <v>0</v>
      </c>
      <c r="L20" s="20" t="n">
        <v>0</v>
      </c>
      <c r="M20" s="18" t="n">
        <v>0</v>
      </c>
      <c r="N20" s="20" t="n">
        <v>0</v>
      </c>
      <c r="O20" s="18" t="n">
        <v>0</v>
      </c>
      <c r="P20" s="20" t="n">
        <v>0</v>
      </c>
      <c r="Q20" s="18" t="n">
        <v>0</v>
      </c>
      <c r="R20" s="20" t="n">
        <v>0</v>
      </c>
    </row>
    <row r="21" spans="1:18">
      <c r="A21" s="15" t="s">
        <v>363</v>
      </c>
      <c r="B21" s="17" t="n">
        <v>2833</v>
      </c>
      <c r="C21" s="18">
        <f>(2376.0/B21*100)</f>
        <v/>
      </c>
      <c r="D21" s="19" t="n">
        <v>457</v>
      </c>
      <c r="E21" s="18" t="n">
        <v>71.60805705999999</v>
      </c>
      <c r="F21" s="20" t="n">
        <v>2.46810724</v>
      </c>
      <c r="G21" s="18" t="n">
        <v>28.39194294</v>
      </c>
      <c r="H21" s="20" t="n">
        <v>2.46810724</v>
      </c>
      <c r="I21" s="18" t="s">
        <v>349</v>
      </c>
      <c r="J21" s="20" t="s">
        <v>349</v>
      </c>
      <c r="K21" s="18" t="n">
        <v>0</v>
      </c>
      <c r="L21" s="20" t="n">
        <v>0</v>
      </c>
      <c r="M21" s="18" t="n">
        <v>0</v>
      </c>
      <c r="N21" s="20" t="n">
        <v>0</v>
      </c>
      <c r="O21" s="18" t="n">
        <v>0</v>
      </c>
      <c r="P21" s="20" t="n">
        <v>0</v>
      </c>
      <c r="Q21" s="18" t="n">
        <v>0</v>
      </c>
      <c r="R21" s="20" t="n">
        <v>0</v>
      </c>
    </row>
    <row r="22" spans="1:18">
      <c r="A22" s="15" t="s">
        <v>364</v>
      </c>
      <c r="B22" s="17" t="n">
        <v>3667</v>
      </c>
      <c r="C22" s="18">
        <f>(3186.0/B22*100)</f>
        <v/>
      </c>
      <c r="D22" s="19" t="n">
        <v>481</v>
      </c>
      <c r="E22" s="18" t="n">
        <v>58.2845713</v>
      </c>
      <c r="F22" s="20" t="n">
        <v>2.54911709</v>
      </c>
      <c r="G22" s="18" t="n">
        <v>40.4570957</v>
      </c>
      <c r="H22" s="20" t="n">
        <v>2.48827382</v>
      </c>
      <c r="I22" s="18" t="s">
        <v>349</v>
      </c>
      <c r="J22" s="20" t="s">
        <v>349</v>
      </c>
      <c r="K22" s="18" t="n">
        <v>0.27996656</v>
      </c>
      <c r="L22" s="20" t="n">
        <v>0.27779968</v>
      </c>
      <c r="M22" s="18" t="n">
        <v>0</v>
      </c>
      <c r="N22" s="20" t="n">
        <v>0</v>
      </c>
      <c r="O22" s="18" t="n">
        <v>0</v>
      </c>
      <c r="P22" s="20" t="n">
        <v>0</v>
      </c>
      <c r="Q22" s="18" t="n">
        <v>0.97836645</v>
      </c>
      <c r="R22" s="20" t="n">
        <v>0.53075465</v>
      </c>
    </row>
    <row r="23" spans="1:18">
      <c r="A23" s="15" t="s">
        <v>365</v>
      </c>
      <c r="B23" s="17" t="n">
        <v>5792</v>
      </c>
      <c r="C23" s="18">
        <f>(5051.0/B23*100)</f>
        <v/>
      </c>
      <c r="D23" s="19" t="n">
        <v>741</v>
      </c>
      <c r="E23" s="18" t="n">
        <v>63.69015755</v>
      </c>
      <c r="F23" s="20" t="n">
        <v>2.6265387</v>
      </c>
      <c r="G23" s="18" t="n">
        <v>35.85557981</v>
      </c>
      <c r="H23" s="20" t="n">
        <v>2.6332075</v>
      </c>
      <c r="I23" s="18" t="s">
        <v>349</v>
      </c>
      <c r="J23" s="20" t="s">
        <v>349</v>
      </c>
      <c r="K23" s="18" t="n">
        <v>0</v>
      </c>
      <c r="L23" s="20" t="n">
        <v>0</v>
      </c>
      <c r="M23" s="18" t="n">
        <v>0</v>
      </c>
      <c r="N23" s="20" t="n">
        <v>0</v>
      </c>
      <c r="O23" s="18" t="n">
        <v>0</v>
      </c>
      <c r="P23" s="20" t="n">
        <v>0</v>
      </c>
      <c r="Q23" s="18" t="n">
        <v>0.45426264</v>
      </c>
      <c r="R23" s="20" t="n">
        <v>0.27948225</v>
      </c>
    </row>
    <row r="24" spans="1:18">
      <c r="A24" s="15" t="s">
        <v>366</v>
      </c>
      <c r="B24" s="17" t="n">
        <v>3309</v>
      </c>
      <c r="C24" s="18">
        <f>(2903.0/B24*100)</f>
        <v/>
      </c>
      <c r="D24" s="19" t="n">
        <v>406</v>
      </c>
      <c r="E24" s="18" t="n">
        <v>33.37386873</v>
      </c>
      <c r="F24" s="20" t="n">
        <v>2.69097942</v>
      </c>
      <c r="G24" s="18" t="n">
        <v>66.03768573000001</v>
      </c>
      <c r="H24" s="20" t="n">
        <v>2.63350822</v>
      </c>
      <c r="I24" s="18" t="s">
        <v>349</v>
      </c>
      <c r="J24" s="20" t="s">
        <v>349</v>
      </c>
      <c r="K24" s="18" t="n">
        <v>0</v>
      </c>
      <c r="L24" s="20" t="n">
        <v>0</v>
      </c>
      <c r="M24" s="18" t="n">
        <v>0</v>
      </c>
      <c r="N24" s="20" t="n">
        <v>0</v>
      </c>
      <c r="O24" s="18" t="n">
        <v>0</v>
      </c>
      <c r="P24" s="20" t="n">
        <v>0</v>
      </c>
      <c r="Q24" s="18" t="n">
        <v>0.58844553</v>
      </c>
      <c r="R24" s="20" t="n">
        <v>0.41596619</v>
      </c>
    </row>
    <row r="25" spans="1:18">
      <c r="A25" s="15" t="s">
        <v>367</v>
      </c>
      <c r="B25" s="17" t="n">
        <v>2669</v>
      </c>
      <c r="C25" s="18">
        <f>(2343.0/B25*100)</f>
        <v/>
      </c>
      <c r="D25" s="19" t="n">
        <v>326</v>
      </c>
      <c r="E25" s="18" t="n">
        <v>27.43005444</v>
      </c>
      <c r="F25" s="20" t="n">
        <v>2.73482937</v>
      </c>
      <c r="G25" s="18" t="n">
        <v>71.98322151000001</v>
      </c>
      <c r="H25" s="20" t="n">
        <v>2.75391372</v>
      </c>
      <c r="I25" s="18" t="s">
        <v>349</v>
      </c>
      <c r="J25" s="20" t="s">
        <v>349</v>
      </c>
      <c r="K25" s="18" t="n">
        <v>0.58672406</v>
      </c>
      <c r="L25" s="20" t="n">
        <v>0.49847186</v>
      </c>
      <c r="M25" s="18" t="n">
        <v>0</v>
      </c>
      <c r="N25" s="20" t="n">
        <v>0</v>
      </c>
      <c r="O25" s="18" t="n">
        <v>0</v>
      </c>
      <c r="P25" s="20" t="n">
        <v>0</v>
      </c>
      <c r="Q25" s="18" t="n">
        <v>0</v>
      </c>
      <c r="R25" s="20" t="n">
        <v>0</v>
      </c>
    </row>
    <row r="26" spans="1:18">
      <c r="A26" s="15" t="s">
        <v>368</v>
      </c>
      <c r="B26" s="17" t="n">
        <v>2419</v>
      </c>
      <c r="C26" s="18">
        <f>(2130.0/B26*100)</f>
        <v/>
      </c>
      <c r="D26" s="19" t="n">
        <v>289</v>
      </c>
      <c r="E26" s="18" t="n">
        <v>51.62281071</v>
      </c>
      <c r="F26" s="20" t="n">
        <v>3.04129956</v>
      </c>
      <c r="G26" s="18" t="n">
        <v>46.80218025</v>
      </c>
      <c r="H26" s="20" t="n">
        <v>3.12951502</v>
      </c>
      <c r="I26" s="18" t="s">
        <v>349</v>
      </c>
      <c r="J26" s="20" t="s">
        <v>349</v>
      </c>
      <c r="K26" s="18" t="n">
        <v>0.25971371</v>
      </c>
      <c r="L26" s="20" t="n">
        <v>0.26308117</v>
      </c>
      <c r="M26" s="18" t="n">
        <v>0</v>
      </c>
      <c r="N26" s="20" t="n">
        <v>0</v>
      </c>
      <c r="O26" s="18" t="n">
        <v>0</v>
      </c>
      <c r="P26" s="20" t="n">
        <v>0</v>
      </c>
      <c r="Q26" s="18" t="n">
        <v>1.31529533</v>
      </c>
      <c r="R26" s="20" t="n">
        <v>0.9778969199999999</v>
      </c>
    </row>
    <row r="27" spans="1:18">
      <c r="A27" s="15" t="s">
        <v>369</v>
      </c>
      <c r="B27" s="17" t="n">
        <v>2683</v>
      </c>
      <c r="C27" s="18">
        <f>(2345.0/B27*100)</f>
        <v/>
      </c>
      <c r="D27" s="19" t="n">
        <v>338</v>
      </c>
      <c r="E27" s="18" t="n">
        <v>61.9604975</v>
      </c>
      <c r="F27" s="20" t="n">
        <v>2.84005264</v>
      </c>
      <c r="G27" s="18" t="n">
        <v>37.73520195</v>
      </c>
      <c r="H27" s="20" t="n">
        <v>2.80385038</v>
      </c>
      <c r="I27" s="18" t="s">
        <v>349</v>
      </c>
      <c r="J27" s="20" t="s">
        <v>349</v>
      </c>
      <c r="K27" s="18" t="n">
        <v>0</v>
      </c>
      <c r="L27" s="20" t="n">
        <v>0</v>
      </c>
      <c r="M27" s="18" t="n">
        <v>0</v>
      </c>
      <c r="N27" s="20" t="n">
        <v>0</v>
      </c>
      <c r="O27" s="18" t="n">
        <v>0</v>
      </c>
      <c r="P27" s="20" t="n">
        <v>0</v>
      </c>
      <c r="Q27" s="18" t="n">
        <v>0.30430055</v>
      </c>
      <c r="R27" s="20" t="n">
        <v>0.29777118</v>
      </c>
    </row>
    <row r="28" spans="1:18">
      <c r="A28" s="15" t="s">
        <v>370</v>
      </c>
      <c r="B28" s="17" t="n">
        <v>3803</v>
      </c>
      <c r="C28" s="18">
        <f>(3344.0/B28*100)</f>
        <v/>
      </c>
      <c r="D28" s="19" t="n">
        <v>459</v>
      </c>
      <c r="E28" s="18" t="n">
        <v>89.82888955</v>
      </c>
      <c r="F28" s="20" t="n">
        <v>1.42013813</v>
      </c>
      <c r="G28" s="18" t="n">
        <v>9.956843109999999</v>
      </c>
      <c r="H28" s="20" t="n">
        <v>1.42738389</v>
      </c>
      <c r="I28" s="18" t="s">
        <v>349</v>
      </c>
      <c r="J28" s="20" t="s">
        <v>349</v>
      </c>
      <c r="K28" s="18" t="n">
        <v>0</v>
      </c>
      <c r="L28" s="20" t="n">
        <v>0</v>
      </c>
      <c r="M28" s="18" t="n">
        <v>0</v>
      </c>
      <c r="N28" s="20" t="n">
        <v>0</v>
      </c>
      <c r="O28" s="18" t="n">
        <v>0</v>
      </c>
      <c r="P28" s="20" t="n">
        <v>0</v>
      </c>
      <c r="Q28" s="18" t="n">
        <v>0.21426734</v>
      </c>
      <c r="R28" s="20" t="n">
        <v>0.21199467</v>
      </c>
    </row>
    <row r="29" spans="1:18">
      <c r="A29" s="15" t="s">
        <v>371</v>
      </c>
      <c r="B29" s="17" t="n">
        <v>2700</v>
      </c>
      <c r="C29" s="18">
        <f>(2322.0/B29*100)</f>
        <v/>
      </c>
      <c r="D29" s="19" t="n">
        <v>378</v>
      </c>
      <c r="E29" s="18" t="n">
        <v>80.20435289</v>
      </c>
      <c r="F29" s="20" t="n">
        <v>2.34124687</v>
      </c>
      <c r="G29" s="18" t="n">
        <v>17.97102174</v>
      </c>
      <c r="H29" s="20" t="n">
        <v>1.94612778</v>
      </c>
      <c r="I29" s="18" t="s">
        <v>349</v>
      </c>
      <c r="J29" s="20" t="s">
        <v>349</v>
      </c>
      <c r="K29" s="18" t="n">
        <v>0.83141121</v>
      </c>
      <c r="L29" s="20" t="n">
        <v>0.81361557</v>
      </c>
      <c r="M29" s="18" t="n">
        <v>0</v>
      </c>
      <c r="N29" s="20" t="n">
        <v>0</v>
      </c>
      <c r="O29" s="18" t="n">
        <v>0</v>
      </c>
      <c r="P29" s="20" t="n">
        <v>0</v>
      </c>
      <c r="Q29" s="18" t="n">
        <v>0.99321416</v>
      </c>
      <c r="R29" s="20" t="n">
        <v>0.7318844</v>
      </c>
    </row>
    <row r="30" spans="1:18">
      <c r="A30" s="15" t="s">
        <v>372</v>
      </c>
      <c r="B30" s="17" t="n">
        <v>2257</v>
      </c>
      <c r="C30" s="18">
        <f>(1956.0/B30*100)</f>
        <v/>
      </c>
      <c r="D30" s="19" t="n">
        <v>301</v>
      </c>
      <c r="E30" s="18" t="n">
        <v>69.99773845999999</v>
      </c>
      <c r="F30" s="20" t="n">
        <v>3.29633866</v>
      </c>
      <c r="G30" s="18" t="n">
        <v>28.73958343</v>
      </c>
      <c r="H30" s="20" t="n">
        <v>3.18666289</v>
      </c>
      <c r="I30" s="18" t="s">
        <v>349</v>
      </c>
      <c r="J30" s="20" t="s">
        <v>349</v>
      </c>
      <c r="K30" s="18" t="n">
        <v>0.66294327</v>
      </c>
      <c r="L30" s="20" t="n">
        <v>0.51476149</v>
      </c>
      <c r="M30" s="18" t="n">
        <v>0</v>
      </c>
      <c r="N30" s="20" t="n">
        <v>0</v>
      </c>
      <c r="O30" s="18" t="n">
        <v>0</v>
      </c>
      <c r="P30" s="20" t="n">
        <v>0</v>
      </c>
      <c r="Q30" s="18" t="n">
        <v>0.5997348300000001</v>
      </c>
      <c r="R30" s="20" t="n">
        <v>0.44016101</v>
      </c>
    </row>
    <row r="31" spans="1:18">
      <c r="A31" s="15" t="s">
        <v>373</v>
      </c>
      <c r="B31" s="17" t="n">
        <v>2706</v>
      </c>
      <c r="C31" s="18">
        <f>(2387.0/B31*100)</f>
        <v/>
      </c>
      <c r="D31" s="19" t="n">
        <v>319</v>
      </c>
      <c r="E31" s="18" t="n">
        <v>63.40964908</v>
      </c>
      <c r="F31" s="20" t="n">
        <v>2.76434487</v>
      </c>
      <c r="G31" s="18" t="n">
        <v>34.66983045</v>
      </c>
      <c r="H31" s="20" t="n">
        <v>2.80503576</v>
      </c>
      <c r="I31" s="18" t="s">
        <v>349</v>
      </c>
      <c r="J31" s="20" t="s">
        <v>349</v>
      </c>
      <c r="K31" s="18" t="n">
        <v>0.93147806</v>
      </c>
      <c r="L31" s="20" t="n">
        <v>0.53839031</v>
      </c>
      <c r="M31" s="18" t="n">
        <v>0</v>
      </c>
      <c r="N31" s="20" t="n">
        <v>0</v>
      </c>
      <c r="O31" s="18" t="n">
        <v>0</v>
      </c>
      <c r="P31" s="20" t="n">
        <v>0</v>
      </c>
      <c r="Q31" s="18" t="n">
        <v>0.9890424</v>
      </c>
      <c r="R31" s="20" t="n">
        <v>0.62112106</v>
      </c>
    </row>
    <row r="32" spans="1:18">
      <c r="A32" s="15" t="s">
        <v>374</v>
      </c>
      <c r="B32" s="17" t="n">
        <v>2209</v>
      </c>
      <c r="C32" s="18">
        <f>(1846.0/B32*100)</f>
        <v/>
      </c>
      <c r="D32" s="19" t="n">
        <v>363</v>
      </c>
      <c r="E32" s="18" t="n">
        <v>68.05665764</v>
      </c>
      <c r="F32" s="20" t="n">
        <v>2.57195361</v>
      </c>
      <c r="G32" s="18" t="n">
        <v>31.94334236</v>
      </c>
      <c r="H32" s="20" t="n">
        <v>2.57195361</v>
      </c>
      <c r="I32" s="18" t="s">
        <v>349</v>
      </c>
      <c r="J32" s="20" t="s">
        <v>349</v>
      </c>
      <c r="K32" s="18" t="n">
        <v>0</v>
      </c>
      <c r="L32" s="20" t="n">
        <v>0</v>
      </c>
      <c r="M32" s="18" t="n">
        <v>0</v>
      </c>
      <c r="N32" s="20" t="n">
        <v>0</v>
      </c>
      <c r="O32" s="18" t="n">
        <v>0</v>
      </c>
      <c r="P32" s="20" t="n">
        <v>0</v>
      </c>
      <c r="Q32" s="18" t="n">
        <v>0</v>
      </c>
      <c r="R32" s="20" t="n">
        <v>0</v>
      </c>
    </row>
    <row r="33" spans="1:18">
      <c r="A33" s="15" t="s">
        <v>375</v>
      </c>
      <c r="B33" s="17" t="n">
        <v>3651</v>
      </c>
      <c r="C33" s="18">
        <f>(3216.0/B33*100)</f>
        <v/>
      </c>
      <c r="D33" s="19" t="n">
        <v>435</v>
      </c>
      <c r="E33" s="18" t="n">
        <v>57.29547873</v>
      </c>
      <c r="F33" s="20" t="n">
        <v>2.08424176</v>
      </c>
      <c r="G33" s="18" t="n">
        <v>41.96920421</v>
      </c>
      <c r="H33" s="20" t="n">
        <v>2.06690091</v>
      </c>
      <c r="I33" s="18" t="s">
        <v>349</v>
      </c>
      <c r="J33" s="20" t="s">
        <v>349</v>
      </c>
      <c r="K33" s="18" t="n">
        <v>0.33647894</v>
      </c>
      <c r="L33" s="20" t="n">
        <v>0.3499022</v>
      </c>
      <c r="M33" s="18" t="n">
        <v>0</v>
      </c>
      <c r="N33" s="20" t="n">
        <v>0</v>
      </c>
      <c r="O33" s="18" t="n">
        <v>0</v>
      </c>
      <c r="P33" s="20" t="n">
        <v>0</v>
      </c>
      <c r="Q33" s="18" t="n">
        <v>0.39883811</v>
      </c>
      <c r="R33" s="20" t="n">
        <v>0.33510818</v>
      </c>
    </row>
    <row r="34" spans="1:18">
      <c r="A34" s="15" t="s">
        <v>376</v>
      </c>
      <c r="B34" s="17" t="n">
        <v>3035</v>
      </c>
      <c r="C34" s="18">
        <f>(2592.0/B34*100)</f>
        <v/>
      </c>
      <c r="D34" s="19" t="n">
        <v>443</v>
      </c>
      <c r="E34" s="18" t="n">
        <v>66.48259413</v>
      </c>
      <c r="F34" s="20" t="n">
        <v>2.46116137</v>
      </c>
      <c r="G34" s="18" t="n">
        <v>31.07532698</v>
      </c>
      <c r="H34" s="20" t="n">
        <v>2.2049728</v>
      </c>
      <c r="I34" s="18" t="s">
        <v>349</v>
      </c>
      <c r="J34" s="20" t="s">
        <v>349</v>
      </c>
      <c r="K34" s="18" t="n">
        <v>1.7346217</v>
      </c>
      <c r="L34" s="20" t="n">
        <v>0.86668497</v>
      </c>
      <c r="M34" s="18" t="n">
        <v>0</v>
      </c>
      <c r="N34" s="20" t="n">
        <v>0</v>
      </c>
      <c r="O34" s="18" t="n">
        <v>0</v>
      </c>
      <c r="P34" s="20" t="n">
        <v>0</v>
      </c>
      <c r="Q34" s="18" t="n">
        <v>0.70745719</v>
      </c>
      <c r="R34" s="20" t="n">
        <v>0.47602913</v>
      </c>
    </row>
    <row r="35" spans="1:18">
      <c r="A35" s="15" t="s">
        <v>377</v>
      </c>
      <c r="B35" s="17" t="n">
        <v>2901</v>
      </c>
      <c r="C35" s="18">
        <f>(2528.0/B35*100)</f>
        <v/>
      </c>
      <c r="D35" s="19" t="n">
        <v>373</v>
      </c>
      <c r="E35" s="18" t="n">
        <v>72.09712752</v>
      </c>
      <c r="F35" s="20" t="n">
        <v>2.83971085</v>
      </c>
      <c r="G35" s="18" t="n">
        <v>26.5268633</v>
      </c>
      <c r="H35" s="20" t="n">
        <v>2.91741723</v>
      </c>
      <c r="I35" s="18" t="s">
        <v>349</v>
      </c>
      <c r="J35" s="20" t="s">
        <v>349</v>
      </c>
      <c r="K35" s="18" t="n">
        <v>0.11046963</v>
      </c>
      <c r="L35" s="20" t="n">
        <v>0.11141296</v>
      </c>
      <c r="M35" s="18" t="n">
        <v>0</v>
      </c>
      <c r="N35" s="20" t="n">
        <v>0</v>
      </c>
      <c r="O35" s="18" t="n">
        <v>0</v>
      </c>
      <c r="P35" s="20" t="n">
        <v>0</v>
      </c>
      <c r="Q35" s="18" t="n">
        <v>1.26553955</v>
      </c>
      <c r="R35" s="20" t="n">
        <v>0.63465782</v>
      </c>
    </row>
    <row r="36" spans="1:18">
      <c r="A36" s="15" t="s">
        <v>378</v>
      </c>
      <c r="B36" s="17" t="n">
        <v>3404</v>
      </c>
      <c r="C36" s="18">
        <f>(2959.0/B36*100)</f>
        <v/>
      </c>
      <c r="D36" s="19" t="n">
        <v>445</v>
      </c>
      <c r="E36" s="18" t="n">
        <v>84.82262222</v>
      </c>
      <c r="F36" s="20" t="n">
        <v>1.77260998</v>
      </c>
      <c r="G36" s="18" t="n">
        <v>13.95044675</v>
      </c>
      <c r="H36" s="20" t="n">
        <v>1.72278629</v>
      </c>
      <c r="I36" s="18" t="s">
        <v>349</v>
      </c>
      <c r="J36" s="20" t="s">
        <v>349</v>
      </c>
      <c r="K36" s="18" t="n">
        <v>0</v>
      </c>
      <c r="L36" s="20" t="n">
        <v>0</v>
      </c>
      <c r="M36" s="18" t="n">
        <v>0</v>
      </c>
      <c r="N36" s="20" t="n">
        <v>0</v>
      </c>
      <c r="O36" s="18" t="n">
        <v>0</v>
      </c>
      <c r="P36" s="20" t="n">
        <v>0</v>
      </c>
      <c r="Q36" s="18" t="n">
        <v>1.22693103</v>
      </c>
      <c r="R36" s="20" t="n">
        <v>0.62459992</v>
      </c>
    </row>
    <row r="37" spans="1:18">
      <c r="A37" s="15" t="s">
        <v>379</v>
      </c>
      <c r="B37" s="17" t="n">
        <v>2731</v>
      </c>
      <c r="C37" s="18">
        <f>(2394.0/B37*100)</f>
        <v/>
      </c>
      <c r="D37" s="19" t="n">
        <v>337</v>
      </c>
      <c r="E37" s="18" t="n">
        <v>84.03762279999999</v>
      </c>
      <c r="F37" s="20" t="n">
        <v>2.34605042</v>
      </c>
      <c r="G37" s="18" t="n">
        <v>13.31248395</v>
      </c>
      <c r="H37" s="20" t="n">
        <v>2.25223414</v>
      </c>
      <c r="I37" s="18" t="s">
        <v>349</v>
      </c>
      <c r="J37" s="20" t="s">
        <v>349</v>
      </c>
      <c r="K37" s="18" t="n">
        <v>0.5700130799999999</v>
      </c>
      <c r="L37" s="20" t="n">
        <v>0.39844239</v>
      </c>
      <c r="M37" s="18" t="n">
        <v>0</v>
      </c>
      <c r="N37" s="20" t="n">
        <v>0</v>
      </c>
      <c r="O37" s="18" t="n">
        <v>0</v>
      </c>
      <c r="P37" s="20" t="n">
        <v>0</v>
      </c>
      <c r="Q37" s="18" t="n">
        <v>2.07988016</v>
      </c>
      <c r="R37" s="20" t="n">
        <v>0.78985505</v>
      </c>
    </row>
    <row r="38" spans="1:18">
      <c r="A38" s="15" t="s">
        <v>380</v>
      </c>
      <c r="B38" s="17" t="n">
        <v>2807</v>
      </c>
      <c r="C38" s="18">
        <f>(2349.0/B38*100)</f>
        <v/>
      </c>
      <c r="D38" s="19" t="n">
        <v>458</v>
      </c>
      <c r="E38" s="18" t="n">
        <v>61.26125033</v>
      </c>
      <c r="F38" s="20" t="n">
        <v>2.58871712</v>
      </c>
      <c r="G38" s="18" t="n">
        <v>38.08895476</v>
      </c>
      <c r="H38" s="20" t="n">
        <v>2.58296869</v>
      </c>
      <c r="I38" s="18" t="s">
        <v>349</v>
      </c>
      <c r="J38" s="20" t="s">
        <v>349</v>
      </c>
      <c r="K38" s="18" t="n">
        <v>0</v>
      </c>
      <c r="L38" s="20" t="n">
        <v>0</v>
      </c>
      <c r="M38" s="18" t="n">
        <v>0</v>
      </c>
      <c r="N38" s="20" t="n">
        <v>0</v>
      </c>
      <c r="O38" s="18" t="n">
        <v>0</v>
      </c>
      <c r="P38" s="20" t="n">
        <v>0</v>
      </c>
      <c r="Q38" s="18" t="n">
        <v>0.64979491</v>
      </c>
      <c r="R38" s="20" t="n">
        <v>0.38440468</v>
      </c>
    </row>
    <row r="39" spans="1:18">
      <c r="A39" s="15" t="s">
        <v>381</v>
      </c>
      <c r="B39" s="17" t="n">
        <v>2938</v>
      </c>
      <c r="C39" s="18">
        <f>(2583.0/B39*100)</f>
        <v/>
      </c>
      <c r="D39" s="19" t="n">
        <v>355</v>
      </c>
      <c r="E39" s="18" t="n">
        <v>77.69791893999999</v>
      </c>
      <c r="F39" s="20" t="n">
        <v>2.44515596</v>
      </c>
      <c r="G39" s="18" t="n">
        <v>21.93555857</v>
      </c>
      <c r="H39" s="20" t="n">
        <v>2.42470459</v>
      </c>
      <c r="I39" s="18" t="s">
        <v>349</v>
      </c>
      <c r="J39" s="20" t="s">
        <v>349</v>
      </c>
      <c r="K39" s="18" t="n">
        <v>0</v>
      </c>
      <c r="L39" s="20" t="n">
        <v>0</v>
      </c>
      <c r="M39" s="18" t="n">
        <v>0</v>
      </c>
      <c r="N39" s="20" t="n">
        <v>0</v>
      </c>
      <c r="O39" s="18" t="n">
        <v>0</v>
      </c>
      <c r="P39" s="20" t="n">
        <v>0</v>
      </c>
      <c r="Q39" s="18" t="n">
        <v>0.36652249</v>
      </c>
      <c r="R39" s="20" t="n">
        <v>0.22714057</v>
      </c>
    </row>
    <row r="40" spans="1:18">
      <c r="A40" s="15" t="s">
        <v>382</v>
      </c>
      <c r="B40" s="17" t="n">
        <v>6922</v>
      </c>
      <c r="C40" s="18">
        <f>(6087.0/B40*100)</f>
        <v/>
      </c>
      <c r="D40" s="19" t="n">
        <v>835</v>
      </c>
      <c r="E40" s="18" t="n">
        <v>68.23550409000001</v>
      </c>
      <c r="F40" s="20" t="n">
        <v>2.53520283</v>
      </c>
      <c r="G40" s="18" t="n">
        <v>30.23775094</v>
      </c>
      <c r="H40" s="20" t="n">
        <v>2.49554148</v>
      </c>
      <c r="I40" s="18" t="s">
        <v>349</v>
      </c>
      <c r="J40" s="20" t="s">
        <v>349</v>
      </c>
      <c r="K40" s="18" t="n">
        <v>0.53492167</v>
      </c>
      <c r="L40" s="20" t="n">
        <v>0.09922333</v>
      </c>
      <c r="M40" s="18" t="n">
        <v>0</v>
      </c>
      <c r="N40" s="20" t="n">
        <v>0</v>
      </c>
      <c r="O40" s="18" t="n">
        <v>0</v>
      </c>
      <c r="P40" s="20" t="n">
        <v>0</v>
      </c>
      <c r="Q40" s="18" t="n">
        <v>0.99182331</v>
      </c>
      <c r="R40" s="20" t="n">
        <v>0.59929534</v>
      </c>
    </row>
    <row r="41" spans="1:18">
      <c r="A41" s="15" t="s">
        <v>383</v>
      </c>
      <c r="B41" s="17" t="n">
        <v>2854</v>
      </c>
      <c r="C41" s="18">
        <f>(2484.0/B41*100)</f>
        <v/>
      </c>
      <c r="D41" s="19" t="n">
        <v>370</v>
      </c>
      <c r="E41" s="18" t="n">
        <v>75.59453746</v>
      </c>
      <c r="F41" s="20" t="n">
        <v>2.64522138</v>
      </c>
      <c r="G41" s="18" t="n">
        <v>23.56938749</v>
      </c>
      <c r="H41" s="20" t="n">
        <v>2.57813768</v>
      </c>
      <c r="I41" s="18" t="s">
        <v>349</v>
      </c>
      <c r="J41" s="20" t="s">
        <v>349</v>
      </c>
      <c r="K41" s="18" t="n">
        <v>0</v>
      </c>
      <c r="L41" s="20" t="n">
        <v>0</v>
      </c>
      <c r="M41" s="18" t="n">
        <v>0</v>
      </c>
      <c r="N41" s="20" t="n">
        <v>0</v>
      </c>
      <c r="O41" s="18" t="n">
        <v>0</v>
      </c>
      <c r="P41" s="20" t="n">
        <v>0</v>
      </c>
      <c r="Q41" s="18" t="n">
        <v>0.83607505</v>
      </c>
      <c r="R41" s="20" t="n">
        <v>0.50104833</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(10669.0/B46*100)</f>
        <v/>
      </c>
      <c r="D46" s="19" t="n">
        <v>1404</v>
      </c>
      <c r="E46" s="18" t="n">
        <v>86.67190693000001</v>
      </c>
      <c r="F46" s="20" t="n">
        <v>1.1777268</v>
      </c>
      <c r="G46" s="18" t="n">
        <v>10.31083157</v>
      </c>
      <c r="H46" s="20" t="n">
        <v>1.10645202</v>
      </c>
      <c r="I46" s="18" t="s">
        <v>349</v>
      </c>
      <c r="J46" s="20" t="s">
        <v>349</v>
      </c>
      <c r="K46" s="18" t="n">
        <v>0.76449369</v>
      </c>
      <c r="L46" s="20" t="n">
        <v>0.28079963</v>
      </c>
      <c r="M46" s="18" t="n">
        <v>0</v>
      </c>
      <c r="N46" s="20" t="n">
        <v>0</v>
      </c>
      <c r="O46" s="18" t="n">
        <v>0</v>
      </c>
      <c r="P46" s="20" t="n">
        <v>0</v>
      </c>
      <c r="Q46" s="18" t="n">
        <v>2.25276781</v>
      </c>
      <c r="R46" s="20" t="n">
        <v>0.5254814</v>
      </c>
    </row>
    <row r="47" spans="1:18">
      <c r="A47" s="15" t="s">
        <v>389</v>
      </c>
      <c r="B47" s="17" t="n">
        <v>2823</v>
      </c>
      <c r="C47" s="18">
        <f>(2473.0/B47*100)</f>
        <v/>
      </c>
      <c r="D47" s="19" t="n">
        <v>350</v>
      </c>
      <c r="E47" s="18" t="n">
        <v>61.27541658</v>
      </c>
      <c r="F47" s="20" t="n">
        <v>2.96150094</v>
      </c>
      <c r="G47" s="18" t="n">
        <v>38.15426589</v>
      </c>
      <c r="H47" s="20" t="n">
        <v>2.9996861</v>
      </c>
      <c r="I47" s="18" t="s">
        <v>349</v>
      </c>
      <c r="J47" s="20" t="s">
        <v>349</v>
      </c>
      <c r="K47" s="18" t="n">
        <v>0</v>
      </c>
      <c r="L47" s="20" t="n">
        <v>0</v>
      </c>
      <c r="M47" s="18" t="n">
        <v>0</v>
      </c>
      <c r="N47" s="20" t="n">
        <v>0</v>
      </c>
      <c r="O47" s="18" t="n">
        <v>0</v>
      </c>
      <c r="P47" s="20" t="n">
        <v>0</v>
      </c>
      <c r="Q47" s="18" t="n">
        <v>0.57031753</v>
      </c>
      <c r="R47" s="20" t="n">
        <v>0.39965249</v>
      </c>
    </row>
    <row r="48" spans="1:18">
      <c r="A48" s="15" t="s">
        <v>390</v>
      </c>
      <c r="B48" s="17" t="n">
        <v>4682</v>
      </c>
      <c r="C48" s="18">
        <f>(4107.0/B48*100)</f>
        <v/>
      </c>
      <c r="D48" s="19" t="n">
        <v>575</v>
      </c>
      <c r="E48" s="18" t="n">
        <v>27.65349713</v>
      </c>
      <c r="F48" s="20" t="n">
        <v>3.12855467</v>
      </c>
      <c r="G48" s="18" t="n">
        <v>71.76044955</v>
      </c>
      <c r="H48" s="20" t="n">
        <v>3.15647174</v>
      </c>
      <c r="I48" s="18" t="s">
        <v>349</v>
      </c>
      <c r="J48" s="20" t="s">
        <v>349</v>
      </c>
      <c r="K48" s="18" t="n">
        <v>0.0498353</v>
      </c>
      <c r="L48" s="20" t="n">
        <v>0.04942934</v>
      </c>
      <c r="M48" s="18" t="n">
        <v>0</v>
      </c>
      <c r="N48" s="20" t="n">
        <v>0</v>
      </c>
      <c r="O48" s="18" t="n">
        <v>0</v>
      </c>
      <c r="P48" s="20" t="n">
        <v>0</v>
      </c>
      <c r="Q48" s="18" t="n">
        <v>0.53621802</v>
      </c>
      <c r="R48" s="20" t="n">
        <v>0.38057971</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(5410.0/B50*100)</f>
        <v/>
      </c>
      <c r="D50" s="19" t="n">
        <v>748</v>
      </c>
      <c r="E50" s="18" t="n">
        <v>90.70238988</v>
      </c>
      <c r="F50" s="20" t="n">
        <v>1.67339281</v>
      </c>
      <c r="G50" s="18" t="n">
        <v>8.01522946</v>
      </c>
      <c r="H50" s="20" t="n">
        <v>1.62619922</v>
      </c>
      <c r="I50" s="18" t="s">
        <v>349</v>
      </c>
      <c r="J50" s="20" t="s">
        <v>349</v>
      </c>
      <c r="K50" s="18" t="n">
        <v>0.40397247</v>
      </c>
      <c r="L50" s="20" t="n">
        <v>0.32226478</v>
      </c>
      <c r="M50" s="18" t="n">
        <v>0</v>
      </c>
      <c r="N50" s="20" t="n">
        <v>0</v>
      </c>
      <c r="O50" s="18" t="n">
        <v>0</v>
      </c>
      <c r="P50" s="20" t="n">
        <v>0</v>
      </c>
      <c r="Q50" s="18" t="n">
        <v>0.87840819</v>
      </c>
      <c r="R50" s="20" t="n">
        <v>0.42060375</v>
      </c>
    </row>
    <row r="51" spans="1:18">
      <c r="A51" s="15" t="s">
        <v>393</v>
      </c>
      <c r="B51" s="17" t="n">
        <v>3494</v>
      </c>
      <c r="C51" s="18">
        <f>(2788.0/B51*100)</f>
        <v/>
      </c>
      <c r="D51" s="19" t="n">
        <v>706</v>
      </c>
      <c r="E51" s="18" t="n">
        <v>91.08311671</v>
      </c>
      <c r="F51" s="20" t="n">
        <v>1.08516039</v>
      </c>
      <c r="G51" s="18" t="n">
        <v>7.81235586</v>
      </c>
      <c r="H51" s="20" t="n">
        <v>0.96451812</v>
      </c>
      <c r="I51" s="18" t="s">
        <v>349</v>
      </c>
      <c r="J51" s="20" t="s">
        <v>349</v>
      </c>
      <c r="K51" s="18" t="n">
        <v>0.44989889</v>
      </c>
      <c r="L51" s="20" t="n">
        <v>0.26147694</v>
      </c>
      <c r="M51" s="18" t="n">
        <v>0</v>
      </c>
      <c r="N51" s="20" t="n">
        <v>0</v>
      </c>
      <c r="O51" s="18" t="n">
        <v>0</v>
      </c>
      <c r="P51" s="20" t="n">
        <v>0</v>
      </c>
      <c r="Q51" s="18" t="n">
        <v>0.65462853</v>
      </c>
      <c r="R51" s="20" t="n">
        <v>0.31177124</v>
      </c>
    </row>
    <row r="52" spans="1:18">
      <c r="A52" s="15" t="s">
        <v>394</v>
      </c>
      <c r="B52" s="17" t="n">
        <v>3013</v>
      </c>
      <c r="C52" s="18">
        <f>(2644.0/B52*100)</f>
        <v/>
      </c>
      <c r="D52" s="19" t="n">
        <v>369</v>
      </c>
      <c r="E52" s="18" t="n">
        <v>72.51015940000001</v>
      </c>
      <c r="F52" s="20" t="n">
        <v>2.67888351</v>
      </c>
      <c r="G52" s="18" t="n">
        <v>26.18157795</v>
      </c>
      <c r="H52" s="20" t="n">
        <v>2.54971529</v>
      </c>
      <c r="I52" s="18" t="s">
        <v>349</v>
      </c>
      <c r="J52" s="20" t="s">
        <v>349</v>
      </c>
      <c r="K52" s="18" t="n">
        <v>0</v>
      </c>
      <c r="L52" s="20" t="n">
        <v>0</v>
      </c>
      <c r="M52" s="18" t="n">
        <v>0</v>
      </c>
      <c r="N52" s="20" t="n">
        <v>0</v>
      </c>
      <c r="O52" s="18" t="n">
        <v>0</v>
      </c>
      <c r="P52" s="20" t="n">
        <v>0</v>
      </c>
      <c r="Q52" s="18" t="n">
        <v>1.30826265</v>
      </c>
      <c r="R52" s="20" t="n">
        <v>0.66438175</v>
      </c>
    </row>
    <row r="53" spans="1:18">
      <c r="A53" s="15" t="s">
        <v>395</v>
      </c>
      <c r="B53" s="17" t="n">
        <v>2760</v>
      </c>
      <c r="C53" s="18">
        <f>(2408.0/B53*100)</f>
        <v/>
      </c>
      <c r="D53" s="19" t="n">
        <v>352</v>
      </c>
      <c r="E53" s="18" t="n">
        <v>74.10448338</v>
      </c>
      <c r="F53" s="20" t="n">
        <v>2.51788572</v>
      </c>
      <c r="G53" s="18" t="n">
        <v>25.58340758</v>
      </c>
      <c r="H53" s="20" t="n">
        <v>2.43980542</v>
      </c>
      <c r="I53" s="18" t="s">
        <v>349</v>
      </c>
      <c r="J53" s="20" t="s">
        <v>349</v>
      </c>
      <c r="K53" s="18" t="n">
        <v>0</v>
      </c>
      <c r="L53" s="20" t="n">
        <v>0</v>
      </c>
      <c r="M53" s="18" t="n">
        <v>0</v>
      </c>
      <c r="N53" s="20" t="n">
        <v>0</v>
      </c>
      <c r="O53" s="18" t="n">
        <v>0</v>
      </c>
      <c r="P53" s="20" t="n">
        <v>0</v>
      </c>
      <c r="Q53" s="18" t="n">
        <v>0.31210904</v>
      </c>
      <c r="R53" s="20" t="n">
        <v>0.31049845</v>
      </c>
    </row>
    <row r="54" spans="1:18">
      <c r="A54" s="15" t="s">
        <v>396</v>
      </c>
      <c r="B54" s="17" t="n">
        <v>2474</v>
      </c>
      <c r="C54" s="18">
        <f>(2039.0/B54*100)</f>
        <v/>
      </c>
      <c r="D54" s="19" t="n">
        <v>435</v>
      </c>
      <c r="E54" s="18" t="n">
        <v>87.14542124</v>
      </c>
      <c r="F54" s="20" t="n">
        <v>1.91380027</v>
      </c>
      <c r="G54" s="18" t="n">
        <v>4.69813844</v>
      </c>
      <c r="H54" s="20" t="n">
        <v>1.12956128</v>
      </c>
      <c r="I54" s="18" t="s">
        <v>349</v>
      </c>
      <c r="J54" s="20" t="s">
        <v>349</v>
      </c>
      <c r="K54" s="18" t="n">
        <v>5.79620068</v>
      </c>
      <c r="L54" s="20" t="n">
        <v>1.13205355</v>
      </c>
      <c r="M54" s="18" t="n">
        <v>0</v>
      </c>
      <c r="N54" s="20" t="n">
        <v>0</v>
      </c>
      <c r="O54" s="18" t="n">
        <v>0</v>
      </c>
      <c r="P54" s="20" t="n">
        <v>0</v>
      </c>
      <c r="Q54" s="18" t="n">
        <v>2.36023963</v>
      </c>
      <c r="R54" s="20" t="n">
        <v>0.90078991</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(2339.0/B56*100)</f>
        <v/>
      </c>
      <c r="D56" s="19" t="n">
        <v>336</v>
      </c>
      <c r="E56" s="18" t="n">
        <v>40.48886992</v>
      </c>
      <c r="F56" s="20" t="n">
        <v>2.7734889</v>
      </c>
      <c r="G56" s="18" t="n">
        <v>59.51113008</v>
      </c>
      <c r="H56" s="20" t="n">
        <v>2.7734889</v>
      </c>
      <c r="I56" s="18" t="s">
        <v>349</v>
      </c>
      <c r="J56" s="20" t="s">
        <v>349</v>
      </c>
      <c r="K56" s="18" t="n">
        <v>0</v>
      </c>
      <c r="L56" s="20" t="n">
        <v>0</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(2799.0/B61*100)</f>
        <v/>
      </c>
      <c r="D61" s="19" t="n">
        <v>402</v>
      </c>
      <c r="E61" s="18" t="n">
        <v>66.0803064</v>
      </c>
      <c r="F61" s="20" t="n">
        <v>2.43088733</v>
      </c>
      <c r="G61" s="18" t="n">
        <v>33.19849009</v>
      </c>
      <c r="H61" s="20" t="n">
        <v>2.41330177</v>
      </c>
      <c r="I61" s="18" t="s">
        <v>349</v>
      </c>
      <c r="J61" s="20" t="s">
        <v>349</v>
      </c>
      <c r="K61" s="18" t="n">
        <v>0.72120351</v>
      </c>
      <c r="L61" s="20" t="n">
        <v>0.70637302</v>
      </c>
      <c r="M61" s="18" t="n">
        <v>0</v>
      </c>
      <c r="N61" s="20" t="n">
        <v>0</v>
      </c>
      <c r="O61" s="18" t="n">
        <v>0</v>
      </c>
      <c r="P61" s="20" t="n">
        <v>0</v>
      </c>
      <c r="Q61" s="18" t="n">
        <v>0</v>
      </c>
      <c r="R61" s="20" t="n">
        <v>0</v>
      </c>
    </row>
    <row r="62" spans="1:18">
      <c r="A62" s="15" t="s">
        <v>404</v>
      </c>
      <c r="B62" s="17" t="n">
        <v>2230</v>
      </c>
      <c r="C62" s="18">
        <f>(1973.0/B62*100)</f>
        <v/>
      </c>
      <c r="D62" s="19" t="n">
        <v>257</v>
      </c>
      <c r="E62" s="18" t="n">
        <v>33.26345067</v>
      </c>
      <c r="F62" s="20" t="n">
        <v>3.27737003</v>
      </c>
      <c r="G62" s="18" t="n">
        <v>66.73654933</v>
      </c>
      <c r="H62" s="20" t="n">
        <v>3.27737003</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(2438.0/B66*100)</f>
        <v/>
      </c>
      <c r="D66" s="19" t="n">
        <v>333</v>
      </c>
      <c r="E66" s="18" t="n">
        <v>80.65756493000001</v>
      </c>
      <c r="F66" s="20" t="n">
        <v>2.44806376</v>
      </c>
      <c r="G66" s="18" t="n">
        <v>17.07565464</v>
      </c>
      <c r="H66" s="20" t="n">
        <v>2.30312086</v>
      </c>
      <c r="I66" s="18" t="s">
        <v>349</v>
      </c>
      <c r="J66" s="20" t="s">
        <v>349</v>
      </c>
      <c r="K66" s="18" t="n">
        <v>0.38597538</v>
      </c>
      <c r="L66" s="20" t="n">
        <v>0.38336505</v>
      </c>
      <c r="M66" s="18" t="n">
        <v>0</v>
      </c>
      <c r="N66" s="20" t="n">
        <v>0</v>
      </c>
      <c r="O66" s="18" t="n">
        <v>0</v>
      </c>
      <c r="P66" s="20" t="n">
        <v>0</v>
      </c>
      <c r="Q66" s="18" t="n">
        <v>1.88080505</v>
      </c>
      <c r="R66" s="20" t="n">
        <v>0.81493125</v>
      </c>
    </row>
    <row r="67" spans="1:18">
      <c r="A67" s="15" t="s">
        <v>409</v>
      </c>
      <c r="B67" s="17" t="n">
        <v>3460</v>
      </c>
      <c r="C67" s="18">
        <f>(3042.0/B67*100)</f>
        <v/>
      </c>
      <c r="D67" s="19" t="n">
        <v>418</v>
      </c>
      <c r="E67" s="18" t="n">
        <v>90.27156767</v>
      </c>
      <c r="F67" s="20" t="n">
        <v>1.58631434</v>
      </c>
      <c r="G67" s="18" t="n">
        <v>8.707143970000001</v>
      </c>
      <c r="H67" s="20" t="n">
        <v>1.52286046</v>
      </c>
      <c r="I67" s="18" t="s">
        <v>349</v>
      </c>
      <c r="J67" s="20" t="s">
        <v>349</v>
      </c>
      <c r="K67" s="18" t="n">
        <v>0</v>
      </c>
      <c r="L67" s="20" t="n">
        <v>0</v>
      </c>
      <c r="M67" s="18" t="n">
        <v>0</v>
      </c>
      <c r="N67" s="20" t="n">
        <v>0</v>
      </c>
      <c r="O67" s="18" t="n">
        <v>0</v>
      </c>
      <c r="P67" s="20" t="n">
        <v>0</v>
      </c>
      <c r="Q67" s="18" t="n">
        <v>1.02128836</v>
      </c>
      <c r="R67" s="20" t="n">
        <v>0.44561781</v>
      </c>
    </row>
    <row r="68" spans="1:18">
      <c r="A68" s="15" t="s">
        <v>410</v>
      </c>
      <c r="B68" s="17" t="n">
        <v>6034</v>
      </c>
      <c r="C68" s="18">
        <f>(5038.0/B68*100)</f>
        <v/>
      </c>
      <c r="D68" s="19" t="n">
        <v>996</v>
      </c>
      <c r="E68" s="18" t="n">
        <v>75.8187418</v>
      </c>
      <c r="F68" s="20" t="n">
        <v>1.51131467</v>
      </c>
      <c r="G68" s="18" t="n">
        <v>23.37093059</v>
      </c>
      <c r="H68" s="20" t="n">
        <v>1.48179876</v>
      </c>
      <c r="I68" s="18" t="s">
        <v>349</v>
      </c>
      <c r="J68" s="20" t="s">
        <v>349</v>
      </c>
      <c r="K68" s="18" t="n">
        <v>0.28996611</v>
      </c>
      <c r="L68" s="20" t="n">
        <v>0.16672492</v>
      </c>
      <c r="M68" s="18" t="n">
        <v>0</v>
      </c>
      <c r="N68" s="20" t="n">
        <v>0</v>
      </c>
      <c r="O68" s="18" t="n">
        <v>0</v>
      </c>
      <c r="P68" s="20" t="n">
        <v>0</v>
      </c>
      <c r="Q68" s="18" t="n">
        <v>0.5203615</v>
      </c>
      <c r="R68" s="20" t="n">
        <v>0.23292969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(2751.0/B70*100)</f>
        <v/>
      </c>
      <c r="D70" s="19" t="n">
        <v>356</v>
      </c>
      <c r="E70" s="18" t="n">
        <v>55.5682747</v>
      </c>
      <c r="F70" s="20" t="n">
        <v>3.215347</v>
      </c>
      <c r="G70" s="18" t="n">
        <v>44.07102665</v>
      </c>
      <c r="H70" s="20" t="n">
        <v>3.21927309</v>
      </c>
      <c r="I70" s="18" t="s">
        <v>349</v>
      </c>
      <c r="J70" s="20" t="s">
        <v>349</v>
      </c>
      <c r="K70" s="18" t="n">
        <v>0.22203194</v>
      </c>
      <c r="L70" s="20" t="n">
        <v>0.21950157</v>
      </c>
      <c r="M70" s="18" t="n">
        <v>0</v>
      </c>
      <c r="N70" s="20" t="n">
        <v>0</v>
      </c>
      <c r="O70" s="18" t="n">
        <v>0</v>
      </c>
      <c r="P70" s="20" t="n">
        <v>0</v>
      </c>
      <c r="Q70" s="18" t="n">
        <v>0.13866671</v>
      </c>
      <c r="R70" s="20" t="n">
        <v>0.14022389</v>
      </c>
    </row>
    <row r="71" spans="1:18">
      <c r="A71" s="15" t="s">
        <v>413</v>
      </c>
      <c r="B71" s="17" t="n">
        <v>2973</v>
      </c>
      <c r="C71" s="18">
        <f>(2594.0/B71*100)</f>
        <v/>
      </c>
      <c r="D71" s="19" t="n">
        <v>379</v>
      </c>
      <c r="E71" s="18" t="n">
        <v>37.41807145</v>
      </c>
      <c r="F71" s="20" t="n">
        <v>2.40380043</v>
      </c>
      <c r="G71" s="18" t="n">
        <v>62.279759</v>
      </c>
      <c r="H71" s="20" t="n">
        <v>2.42644342</v>
      </c>
      <c r="I71" s="18" t="s">
        <v>349</v>
      </c>
      <c r="J71" s="20" t="s">
        <v>349</v>
      </c>
      <c r="K71" s="18" t="n">
        <v>0.30216956</v>
      </c>
      <c r="L71" s="20" t="n">
        <v>0.30056096</v>
      </c>
      <c r="M71" s="18" t="n">
        <v>0</v>
      </c>
      <c r="N71" s="20" t="n">
        <v>0</v>
      </c>
      <c r="O71" s="18" t="n">
        <v>0</v>
      </c>
      <c r="P71" s="20" t="n">
        <v>0</v>
      </c>
      <c r="Q71" s="18" t="n">
        <v>0</v>
      </c>
      <c r="R71" s="20" t="n">
        <v>0</v>
      </c>
    </row>
    <row r="72" spans="1:18">
      <c r="A72" s="15" t="s">
        <v>414</v>
      </c>
      <c r="B72" s="17" t="n">
        <v>3819</v>
      </c>
      <c r="C72" s="18">
        <f>(3329.0/B72*100)</f>
        <v/>
      </c>
      <c r="D72" s="19" t="n">
        <v>490</v>
      </c>
      <c r="E72" s="18" t="n">
        <v>30.29286465</v>
      </c>
      <c r="F72" s="20" t="n">
        <v>2.04082442</v>
      </c>
      <c r="G72" s="18" t="n">
        <v>69.16319175</v>
      </c>
      <c r="H72" s="20" t="n">
        <v>2.05684403</v>
      </c>
      <c r="I72" s="18" t="s">
        <v>349</v>
      </c>
      <c r="J72" s="20" t="s">
        <v>349</v>
      </c>
      <c r="K72" s="18" t="n">
        <v>0.22178018</v>
      </c>
      <c r="L72" s="20" t="n">
        <v>0.22147429</v>
      </c>
      <c r="M72" s="18" t="n">
        <v>0</v>
      </c>
      <c r="N72" s="20" t="n">
        <v>0</v>
      </c>
      <c r="O72" s="18" t="n">
        <v>0</v>
      </c>
      <c r="P72" s="20" t="n">
        <v>0</v>
      </c>
      <c r="Q72" s="18" t="n">
        <v>0.32216343</v>
      </c>
      <c r="R72" s="20" t="n">
        <v>0.22820987</v>
      </c>
    </row>
    <row r="73" spans="1:18">
      <c r="A73" s="15" t="s">
        <v>415</v>
      </c>
      <c r="B73" s="17" t="n">
        <v>4652</v>
      </c>
      <c r="C73" s="18">
        <f>(4088.0/B73*100)</f>
        <v/>
      </c>
      <c r="D73" s="19" t="n">
        <v>564</v>
      </c>
      <c r="E73" s="18" t="n">
        <v>81.98885828</v>
      </c>
      <c r="F73" s="20" t="n">
        <v>2.10170278</v>
      </c>
      <c r="G73" s="18" t="n">
        <v>17.48463643</v>
      </c>
      <c r="H73" s="20" t="n">
        <v>2.10762207</v>
      </c>
      <c r="I73" s="18" t="s">
        <v>349</v>
      </c>
      <c r="J73" s="20" t="s">
        <v>349</v>
      </c>
      <c r="K73" s="18" t="n">
        <v>0</v>
      </c>
      <c r="L73" s="20" t="n">
        <v>0</v>
      </c>
      <c r="M73" s="18" t="n">
        <v>0</v>
      </c>
      <c r="N73" s="20" t="n">
        <v>0</v>
      </c>
      <c r="O73" s="18" t="n">
        <v>0</v>
      </c>
      <c r="P73" s="20" t="n">
        <v>0</v>
      </c>
      <c r="Q73" s="18" t="n">
        <v>0.52650529</v>
      </c>
      <c r="R73" s="20" t="n">
        <v>0.37753881</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(2616.0/B75*100)</f>
        <v/>
      </c>
      <c r="D75" s="19" t="n">
        <v>353</v>
      </c>
      <c r="E75" s="18" t="n">
        <v>75.44113228000001</v>
      </c>
      <c r="F75" s="20" t="n">
        <v>3.02261103</v>
      </c>
      <c r="G75" s="18" t="n">
        <v>22.08763141</v>
      </c>
      <c r="H75" s="20" t="n">
        <v>2.96409246</v>
      </c>
      <c r="I75" s="18" t="s">
        <v>349</v>
      </c>
      <c r="J75" s="20" t="s">
        <v>349</v>
      </c>
      <c r="K75" s="18" t="n">
        <v>1.70716839</v>
      </c>
      <c r="L75" s="20" t="n">
        <v>0.66754418</v>
      </c>
      <c r="M75" s="18" t="n">
        <v>0</v>
      </c>
      <c r="N75" s="20" t="n">
        <v>0</v>
      </c>
      <c r="O75" s="18" t="n">
        <v>0</v>
      </c>
      <c r="P75" s="20" t="n">
        <v>0</v>
      </c>
      <c r="Q75" s="18" t="n">
        <v>0.76406792</v>
      </c>
      <c r="R75" s="20" t="n">
        <v>0.5516866499999999</v>
      </c>
    </row>
    <row r="76" spans="1:18">
      <c r="A76" s="15" t="s">
        <v>418</v>
      </c>
      <c r="B76" s="17" t="n">
        <v>7115</v>
      </c>
      <c r="C76" s="18">
        <f>(6231.0/B76*100)</f>
        <v/>
      </c>
      <c r="D76" s="19" t="n">
        <v>884</v>
      </c>
      <c r="E76" s="18" t="n">
        <v>71.43624341</v>
      </c>
      <c r="F76" s="20" t="n">
        <v>1.79593191</v>
      </c>
      <c r="G76" s="18" t="n">
        <v>28.38068818</v>
      </c>
      <c r="H76" s="20" t="n">
        <v>1.81736259</v>
      </c>
      <c r="I76" s="18" t="s">
        <v>349</v>
      </c>
      <c r="J76" s="20" t="s">
        <v>349</v>
      </c>
      <c r="K76" s="18" t="n">
        <v>0</v>
      </c>
      <c r="L76" s="20" t="n">
        <v>0</v>
      </c>
      <c r="M76" s="18" t="n">
        <v>0</v>
      </c>
      <c r="N76" s="20" t="n">
        <v>0</v>
      </c>
      <c r="O76" s="18" t="n">
        <v>0</v>
      </c>
      <c r="P76" s="20" t="n">
        <v>0</v>
      </c>
      <c r="Q76" s="18" t="n">
        <v>0.18306841</v>
      </c>
      <c r="R76" s="20" t="n">
        <v>0.15016811</v>
      </c>
    </row>
    <row r="77" spans="1:18">
      <c r="A77" s="15" t="s">
        <v>419</v>
      </c>
      <c r="B77" s="17" t="n">
        <v>3154</v>
      </c>
      <c r="C77" s="18">
        <f>(2763.0/B77*100)</f>
        <v/>
      </c>
      <c r="D77" s="19" t="n">
        <v>391</v>
      </c>
      <c r="E77" s="18" t="n">
        <v>83.23055576</v>
      </c>
      <c r="F77" s="20" t="n">
        <v>1.94701474</v>
      </c>
      <c r="G77" s="18" t="n">
        <v>14.19663131</v>
      </c>
      <c r="H77" s="20" t="n">
        <v>1.80224585</v>
      </c>
      <c r="I77" s="18" t="s">
        <v>349</v>
      </c>
      <c r="J77" s="20" t="s">
        <v>349</v>
      </c>
      <c r="K77" s="18" t="n">
        <v>0.48899746</v>
      </c>
      <c r="L77" s="20" t="n">
        <v>0.37565668</v>
      </c>
      <c r="M77" s="18" t="n">
        <v>0</v>
      </c>
      <c r="N77" s="20" t="n">
        <v>0</v>
      </c>
      <c r="O77" s="18" t="n">
        <v>0</v>
      </c>
      <c r="P77" s="20" t="n">
        <v>0</v>
      </c>
      <c r="Q77" s="18" t="n">
        <v>2.08381547</v>
      </c>
      <c r="R77" s="20" t="n">
        <v>0.61642808</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(4101.0/B81*100)</f>
        <v/>
      </c>
      <c r="D81" s="19" t="n">
        <v>597</v>
      </c>
      <c r="E81" s="18" t="n">
        <v>79.3573578</v>
      </c>
      <c r="F81" s="20" t="n">
        <v>2.24142047</v>
      </c>
      <c r="G81" s="18" t="n">
        <v>20.15595566</v>
      </c>
      <c r="H81" s="20" t="n">
        <v>2.23222328</v>
      </c>
      <c r="I81" s="18" t="s">
        <v>349</v>
      </c>
      <c r="J81" s="20" t="s">
        <v>349</v>
      </c>
      <c r="K81" s="18" t="n">
        <v>0</v>
      </c>
      <c r="L81" s="20" t="n">
        <v>0</v>
      </c>
      <c r="M81" s="18" t="n">
        <v>0</v>
      </c>
      <c r="N81" s="20" t="n">
        <v>0</v>
      </c>
      <c r="O81" s="18" t="n">
        <v>0</v>
      </c>
      <c r="P81" s="20" t="n">
        <v>0</v>
      </c>
      <c r="Q81" s="18" t="n">
        <v>0.48668654</v>
      </c>
      <c r="R81" s="20" t="n">
        <v>0.33376805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501</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7163</v>
      </c>
      <c r="C7" s="18">
        <f>(6280.0/B7*100)</f>
        <v/>
      </c>
      <c r="D7" s="19" t="n">
        <v>883</v>
      </c>
      <c r="E7" s="18" t="n">
        <v>47.02973507</v>
      </c>
      <c r="F7" s="20" t="n">
        <v>1.86469668</v>
      </c>
      <c r="G7" s="18" t="n">
        <v>1.65808097</v>
      </c>
      <c r="H7" s="20" t="n">
        <v>0.48564731</v>
      </c>
      <c r="I7" s="18" t="n">
        <v>22.02780919</v>
      </c>
      <c r="J7" s="20" t="n">
        <v>1.64608324</v>
      </c>
      <c r="K7" s="18" t="s">
        <v>349</v>
      </c>
      <c r="L7" s="20" t="s">
        <v>349</v>
      </c>
      <c r="M7" s="18" t="n">
        <v>0.13374435</v>
      </c>
      <c r="N7" s="20" t="n">
        <v>0.09378827000000001</v>
      </c>
      <c r="O7" s="18" t="n">
        <v>0</v>
      </c>
      <c r="P7" s="20" t="n">
        <v>0</v>
      </c>
      <c r="Q7" s="18" t="n">
        <v>0</v>
      </c>
      <c r="R7" s="20" t="n">
        <v>0</v>
      </c>
      <c r="S7" s="18" t="n">
        <v>29.15063041</v>
      </c>
      <c r="T7" s="20" t="n">
        <v>1.59420605</v>
      </c>
    </row>
    <row r="8" spans="1:20">
      <c r="A8" s="15" t="s">
        <v>350</v>
      </c>
      <c r="B8" s="17" t="n">
        <v>3443</v>
      </c>
      <c r="C8" s="18">
        <f>(3004.0/B8*100)</f>
        <v/>
      </c>
      <c r="D8" s="19" t="n">
        <v>439</v>
      </c>
      <c r="E8" s="18" t="n">
        <v>39.58690259</v>
      </c>
      <c r="F8" s="20" t="n">
        <v>2.44229046</v>
      </c>
      <c r="G8" s="18" t="n">
        <v>2.25614373</v>
      </c>
      <c r="H8" s="20" t="n">
        <v>0.68752593</v>
      </c>
      <c r="I8" s="18" t="n">
        <v>15.69811366</v>
      </c>
      <c r="J8" s="20" t="n">
        <v>1.70145685</v>
      </c>
      <c r="K8" s="18" t="s">
        <v>349</v>
      </c>
      <c r="L8" s="20" t="s">
        <v>349</v>
      </c>
      <c r="M8" s="18" t="n">
        <v>0.08132134000000001</v>
      </c>
      <c r="N8" s="20" t="n">
        <v>0.08124252999999999</v>
      </c>
      <c r="O8" s="18" t="n">
        <v>0</v>
      </c>
      <c r="P8" s="20" t="n">
        <v>0</v>
      </c>
      <c r="Q8" s="18" t="n">
        <v>0</v>
      </c>
      <c r="R8" s="20" t="n">
        <v>0</v>
      </c>
      <c r="S8" s="18" t="n">
        <v>42.37751867</v>
      </c>
      <c r="T8" s="20" t="n">
        <v>2.28329738</v>
      </c>
    </row>
    <row r="9" spans="1:20">
      <c r="A9" s="15" t="s">
        <v>351</v>
      </c>
      <c r="B9" s="17" t="n">
        <v>4752</v>
      </c>
      <c r="C9" s="18">
        <f>(4080.0/B9*100)</f>
        <v/>
      </c>
      <c r="D9" s="19" t="n">
        <v>672</v>
      </c>
      <c r="E9" s="18" t="n">
        <v>31.96573697</v>
      </c>
      <c r="F9" s="20" t="n">
        <v>1.85946403</v>
      </c>
      <c r="G9" s="18" t="n">
        <v>1.85884801</v>
      </c>
      <c r="H9" s="20" t="n">
        <v>0.62883394</v>
      </c>
      <c r="I9" s="18" t="n">
        <v>25.48748873</v>
      </c>
      <c r="J9" s="20" t="n">
        <v>2.01414341</v>
      </c>
      <c r="K9" s="18" t="s">
        <v>349</v>
      </c>
      <c r="L9" s="20" t="s">
        <v>349</v>
      </c>
      <c r="M9" s="18" t="n">
        <v>2.39196608</v>
      </c>
      <c r="N9" s="20" t="n">
        <v>0.67880175</v>
      </c>
      <c r="O9" s="18" t="n">
        <v>0.44801369</v>
      </c>
      <c r="P9" s="20" t="n">
        <v>0.19709939</v>
      </c>
      <c r="Q9" s="18" t="n">
        <v>0</v>
      </c>
      <c r="R9" s="20" t="n">
        <v>0</v>
      </c>
      <c r="S9" s="18" t="n">
        <v>37.84794653</v>
      </c>
      <c r="T9" s="20" t="n">
        <v>1.81444192</v>
      </c>
    </row>
    <row r="10" spans="1:20">
      <c r="A10" s="15" t="s">
        <v>352</v>
      </c>
      <c r="B10" s="17" t="n">
        <v>10022</v>
      </c>
      <c r="C10" s="18">
        <f>(8752.0/B10*100)</f>
        <v/>
      </c>
      <c r="D10" s="19" t="n">
        <v>1270</v>
      </c>
      <c r="E10" s="18" t="n">
        <v>43.32514573</v>
      </c>
      <c r="F10" s="20" t="n">
        <v>2.23016713</v>
      </c>
      <c r="G10" s="18" t="n">
        <v>1.76611394</v>
      </c>
      <c r="H10" s="20" t="n">
        <v>0.47238068</v>
      </c>
      <c r="I10" s="18" t="n">
        <v>32.71366408</v>
      </c>
      <c r="J10" s="20" t="n">
        <v>1.91308036</v>
      </c>
      <c r="K10" s="18" t="s">
        <v>349</v>
      </c>
      <c r="L10" s="20" t="s">
        <v>349</v>
      </c>
      <c r="M10" s="18" t="n">
        <v>0.02487766</v>
      </c>
      <c r="N10" s="20" t="n">
        <v>0.0209104</v>
      </c>
      <c r="O10" s="18" t="n">
        <v>0.0108783</v>
      </c>
      <c r="P10" s="20" t="n">
        <v>0.0108604</v>
      </c>
      <c r="Q10" s="18" t="n">
        <v>0</v>
      </c>
      <c r="R10" s="20" t="n">
        <v>0</v>
      </c>
      <c r="S10" s="18" t="n">
        <v>22.15932029</v>
      </c>
      <c r="T10" s="20" t="n">
        <v>1.83124656</v>
      </c>
    </row>
    <row r="11" spans="1:20">
      <c r="A11" s="15" t="s">
        <v>353</v>
      </c>
      <c r="B11" s="17" t="n">
        <v>3500</v>
      </c>
      <c r="C11" s="18">
        <f>(3076.0/B11*100)</f>
        <v/>
      </c>
      <c r="D11" s="19" t="n">
        <v>424</v>
      </c>
      <c r="E11" s="18" t="n">
        <v>43.12867053</v>
      </c>
      <c r="F11" s="20" t="n">
        <v>2.16185838</v>
      </c>
      <c r="G11" s="18" t="n">
        <v>0.79578457</v>
      </c>
      <c r="H11" s="20" t="n">
        <v>0.43009959</v>
      </c>
      <c r="I11" s="18" t="n">
        <v>14.96699543</v>
      </c>
      <c r="J11" s="20" t="n">
        <v>2.0632169</v>
      </c>
      <c r="K11" s="18" t="s">
        <v>349</v>
      </c>
      <c r="L11" s="20" t="s">
        <v>349</v>
      </c>
      <c r="M11" s="18" t="n">
        <v>0.56699665</v>
      </c>
      <c r="N11" s="20" t="n">
        <v>0.40428801</v>
      </c>
      <c r="O11" s="18" t="n">
        <v>0</v>
      </c>
      <c r="P11" s="20" t="n">
        <v>0</v>
      </c>
      <c r="Q11" s="18" t="n">
        <v>0</v>
      </c>
      <c r="R11" s="20" t="n">
        <v>0</v>
      </c>
      <c r="S11" s="18" t="n">
        <v>40.54155282</v>
      </c>
      <c r="T11" s="20" t="n">
        <v>2.52998242</v>
      </c>
    </row>
    <row r="12" spans="1:20">
      <c r="A12" s="15" t="s">
        <v>354</v>
      </c>
      <c r="B12" s="17" t="n">
        <v>3422</v>
      </c>
      <c r="C12" s="18">
        <f>(2991.0/B12*100)</f>
        <v/>
      </c>
      <c r="D12" s="19" t="n">
        <v>431</v>
      </c>
      <c r="E12" s="18" t="n">
        <v>39.03131002</v>
      </c>
      <c r="F12" s="20" t="n">
        <v>3.05552924</v>
      </c>
      <c r="G12" s="18" t="n">
        <v>1.11791056</v>
      </c>
      <c r="H12" s="20" t="n">
        <v>0.47149368</v>
      </c>
      <c r="I12" s="18" t="n">
        <v>14.56478641</v>
      </c>
      <c r="J12" s="20" t="n">
        <v>2.04329378</v>
      </c>
      <c r="K12" s="18" t="s">
        <v>349</v>
      </c>
      <c r="L12" s="20" t="s">
        <v>349</v>
      </c>
      <c r="M12" s="18" t="n">
        <v>0</v>
      </c>
      <c r="N12" s="20" t="n">
        <v>0</v>
      </c>
      <c r="O12" s="18" t="n">
        <v>0</v>
      </c>
      <c r="P12" s="20" t="n">
        <v>0</v>
      </c>
      <c r="Q12" s="18" t="n">
        <v>0</v>
      </c>
      <c r="R12" s="20" t="n">
        <v>0</v>
      </c>
      <c r="S12" s="18" t="n">
        <v>45.28599301</v>
      </c>
      <c r="T12" s="20" t="n">
        <v>2.74456476</v>
      </c>
    </row>
    <row r="13" spans="1:20">
      <c r="A13" s="15" t="s">
        <v>355</v>
      </c>
      <c r="B13" s="17" t="n">
        <v>3602</v>
      </c>
      <c r="C13" s="18">
        <f>(3023.0/B13*100)</f>
        <v/>
      </c>
      <c r="D13" s="19" t="n">
        <v>579</v>
      </c>
      <c r="E13" s="18" t="n">
        <v>37.37984279</v>
      </c>
      <c r="F13" s="20" t="n">
        <v>2.36021639</v>
      </c>
      <c r="G13" s="18" t="n">
        <v>0.11129186</v>
      </c>
      <c r="H13" s="20" t="n">
        <v>0.08250196</v>
      </c>
      <c r="I13" s="18" t="n">
        <v>31.01398816</v>
      </c>
      <c r="J13" s="20" t="n">
        <v>2.67109447</v>
      </c>
      <c r="K13" s="18" t="s">
        <v>349</v>
      </c>
      <c r="L13" s="20" t="s">
        <v>349</v>
      </c>
      <c r="M13" s="18" t="n">
        <v>1.45389919</v>
      </c>
      <c r="N13" s="20" t="n">
        <v>0.58370924</v>
      </c>
      <c r="O13" s="18" t="n">
        <v>0</v>
      </c>
      <c r="P13" s="20" t="n">
        <v>0</v>
      </c>
      <c r="Q13" s="18" t="n">
        <v>0</v>
      </c>
      <c r="R13" s="20" t="n">
        <v>0</v>
      </c>
      <c r="S13" s="18" t="n">
        <v>30.040978</v>
      </c>
      <c r="T13" s="20" t="n">
        <v>2.57279249</v>
      </c>
    </row>
    <row r="14" spans="1:20">
      <c r="A14" s="15" t="s">
        <v>356</v>
      </c>
      <c r="B14" s="17" t="n">
        <v>2788</v>
      </c>
      <c r="C14" s="18">
        <f>(2456.0/B14*100)</f>
        <v/>
      </c>
      <c r="D14" s="19" t="n">
        <v>332</v>
      </c>
      <c r="E14" s="18" t="n">
        <v>37.13258717</v>
      </c>
      <c r="F14" s="20" t="n">
        <v>2.82249428</v>
      </c>
      <c r="G14" s="18" t="n">
        <v>1.7269172</v>
      </c>
      <c r="H14" s="20" t="n">
        <v>0.69734825</v>
      </c>
      <c r="I14" s="18" t="n">
        <v>34.7036299</v>
      </c>
      <c r="J14" s="20" t="n">
        <v>2.82122277</v>
      </c>
      <c r="K14" s="18" t="s">
        <v>349</v>
      </c>
      <c r="L14" s="20" t="s">
        <v>349</v>
      </c>
      <c r="M14" s="18" t="n">
        <v>0</v>
      </c>
      <c r="N14" s="20" t="n">
        <v>0</v>
      </c>
      <c r="O14" s="18" t="n">
        <v>0</v>
      </c>
      <c r="P14" s="20" t="n">
        <v>0</v>
      </c>
      <c r="Q14" s="18" t="n">
        <v>0</v>
      </c>
      <c r="R14" s="20" t="n">
        <v>0</v>
      </c>
      <c r="S14" s="18" t="n">
        <v>26.43686573</v>
      </c>
      <c r="T14" s="20" t="n">
        <v>2.72539009</v>
      </c>
    </row>
    <row r="15" spans="1:20">
      <c r="A15" s="15" t="s">
        <v>357</v>
      </c>
      <c r="B15" s="17" t="n">
        <v>2863</v>
      </c>
      <c r="C15" s="18">
        <f>(2504.0/B15*100)</f>
        <v/>
      </c>
      <c r="D15" s="19" t="n">
        <v>359</v>
      </c>
      <c r="E15" s="18" t="n">
        <v>41.52199945</v>
      </c>
      <c r="F15" s="20" t="n">
        <v>2.63496199</v>
      </c>
      <c r="G15" s="18" t="n">
        <v>2.88226819</v>
      </c>
      <c r="H15" s="20" t="n">
        <v>0.91143062</v>
      </c>
      <c r="I15" s="18" t="n">
        <v>22.165084</v>
      </c>
      <c r="J15" s="20" t="n">
        <v>2.20359698</v>
      </c>
      <c r="K15" s="18" t="s">
        <v>349</v>
      </c>
      <c r="L15" s="20" t="s">
        <v>349</v>
      </c>
      <c r="M15" s="18" t="n">
        <v>1.18671672</v>
      </c>
      <c r="N15" s="20" t="n">
        <v>0.74414797</v>
      </c>
      <c r="O15" s="18" t="n">
        <v>0</v>
      </c>
      <c r="P15" s="20" t="n">
        <v>0</v>
      </c>
      <c r="Q15" s="18" t="n">
        <v>0</v>
      </c>
      <c r="R15" s="20" t="n">
        <v>0</v>
      </c>
      <c r="S15" s="18" t="n">
        <v>32.24393164</v>
      </c>
      <c r="T15" s="20" t="n">
        <v>2.56446753</v>
      </c>
    </row>
    <row r="16" spans="1:20">
      <c r="A16" s="15" t="s">
        <v>358</v>
      </c>
      <c r="B16" s="17" t="n">
        <v>3111</v>
      </c>
      <c r="C16" s="18">
        <f>(2740.0/B16*100)</f>
        <v/>
      </c>
      <c r="D16" s="19" t="n">
        <v>371</v>
      </c>
      <c r="E16" s="18" t="n">
        <v>23.78458887</v>
      </c>
      <c r="F16" s="20" t="n">
        <v>2.32402856</v>
      </c>
      <c r="G16" s="18" t="n">
        <v>0.99786254</v>
      </c>
      <c r="H16" s="20" t="n">
        <v>0.49970333</v>
      </c>
      <c r="I16" s="18" t="n">
        <v>36.7692257</v>
      </c>
      <c r="J16" s="20" t="n">
        <v>2.6519285</v>
      </c>
      <c r="K16" s="18" t="s">
        <v>349</v>
      </c>
      <c r="L16" s="20" t="s">
        <v>349</v>
      </c>
      <c r="M16" s="18" t="n">
        <v>0.30694769</v>
      </c>
      <c r="N16" s="20" t="n">
        <v>0.31482798</v>
      </c>
      <c r="O16" s="18" t="n">
        <v>0</v>
      </c>
      <c r="P16" s="20" t="n">
        <v>0</v>
      </c>
      <c r="Q16" s="18" t="n">
        <v>0</v>
      </c>
      <c r="R16" s="20" t="n">
        <v>0</v>
      </c>
      <c r="S16" s="18" t="n">
        <v>38.1413752</v>
      </c>
      <c r="T16" s="20" t="n">
        <v>2.84247477</v>
      </c>
    </row>
    <row r="17" spans="1:20">
      <c r="A17" s="15" t="s">
        <v>359</v>
      </c>
      <c r="B17" s="17" t="n">
        <v>3197</v>
      </c>
      <c r="C17" s="18">
        <f>(2765.0/B17*100)</f>
        <v/>
      </c>
      <c r="D17" s="19" t="n">
        <v>432</v>
      </c>
      <c r="E17" s="18" t="n">
        <v>34.51365807</v>
      </c>
      <c r="F17" s="20" t="n">
        <v>2.64097665</v>
      </c>
      <c r="G17" s="18" t="n">
        <v>1.77245353</v>
      </c>
      <c r="H17" s="20" t="n">
        <v>0.63452906</v>
      </c>
      <c r="I17" s="18" t="n">
        <v>22.15119033</v>
      </c>
      <c r="J17" s="20" t="n">
        <v>2.58361306</v>
      </c>
      <c r="K17" s="18" t="s">
        <v>349</v>
      </c>
      <c r="L17" s="20" t="s">
        <v>349</v>
      </c>
      <c r="M17" s="18" t="n">
        <v>1.94671916</v>
      </c>
      <c r="N17" s="20" t="n">
        <v>0.44818104</v>
      </c>
      <c r="O17" s="18" t="n">
        <v>0</v>
      </c>
      <c r="P17" s="20" t="n">
        <v>0</v>
      </c>
      <c r="Q17" s="18" t="n">
        <v>0</v>
      </c>
      <c r="R17" s="20" t="n">
        <v>0</v>
      </c>
      <c r="S17" s="18" t="n">
        <v>39.61597892</v>
      </c>
      <c r="T17" s="20" t="n">
        <v>2.60121469</v>
      </c>
    </row>
    <row r="18" spans="1:20">
      <c r="A18" s="15" t="s">
        <v>360</v>
      </c>
      <c r="B18" s="17" t="n">
        <v>2706</v>
      </c>
      <c r="C18" s="18">
        <f>(2383.0/B18*100)</f>
        <v/>
      </c>
      <c r="D18" s="19" t="n">
        <v>323</v>
      </c>
      <c r="E18" s="18" t="n">
        <v>45.1664055</v>
      </c>
      <c r="F18" s="20" t="n">
        <v>2.70758361</v>
      </c>
      <c r="G18" s="18" t="n">
        <v>2.07468874</v>
      </c>
      <c r="H18" s="20" t="n">
        <v>0.75147676</v>
      </c>
      <c r="I18" s="18" t="n">
        <v>9.307315190000001</v>
      </c>
      <c r="J18" s="20" t="n">
        <v>1.86695648</v>
      </c>
      <c r="K18" s="18" t="s">
        <v>349</v>
      </c>
      <c r="L18" s="20" t="s">
        <v>349</v>
      </c>
      <c r="M18" s="18" t="n">
        <v>0.07324596</v>
      </c>
      <c r="N18" s="20" t="n">
        <v>0.07389794</v>
      </c>
      <c r="O18" s="18" t="n">
        <v>0.18882975</v>
      </c>
      <c r="P18" s="20" t="n">
        <v>0.18875223</v>
      </c>
      <c r="Q18" s="18" t="n">
        <v>0</v>
      </c>
      <c r="R18" s="20" t="n">
        <v>0</v>
      </c>
      <c r="S18" s="18" t="n">
        <v>43.18951487</v>
      </c>
      <c r="T18" s="20" t="n">
        <v>2.80911266</v>
      </c>
    </row>
    <row r="19" spans="1:20">
      <c r="A19" s="15" t="s">
        <v>361</v>
      </c>
      <c r="B19" s="17" t="n">
        <v>2850</v>
      </c>
      <c r="C19" s="18">
        <f>(2524.0/B19*100)</f>
        <v/>
      </c>
      <c r="D19" s="19" t="n">
        <v>326</v>
      </c>
      <c r="E19" s="18" t="n">
        <v>47.27623169</v>
      </c>
      <c r="F19" s="20" t="n">
        <v>2.83658147</v>
      </c>
      <c r="G19" s="18" t="n">
        <v>0</v>
      </c>
      <c r="H19" s="20" t="n">
        <v>0</v>
      </c>
      <c r="I19" s="18" t="n">
        <v>16.02059517</v>
      </c>
      <c r="J19" s="20" t="n">
        <v>2.17236777</v>
      </c>
      <c r="K19" s="18" t="s">
        <v>349</v>
      </c>
      <c r="L19" s="20" t="s">
        <v>349</v>
      </c>
      <c r="M19" s="18" t="n">
        <v>0</v>
      </c>
      <c r="N19" s="20" t="n">
        <v>0</v>
      </c>
      <c r="O19" s="18" t="n">
        <v>0</v>
      </c>
      <c r="P19" s="20" t="n">
        <v>0</v>
      </c>
      <c r="Q19" s="18" t="n">
        <v>0</v>
      </c>
      <c r="R19" s="20" t="n">
        <v>0</v>
      </c>
      <c r="S19" s="18" t="n">
        <v>36.70317314</v>
      </c>
      <c r="T19" s="20" t="n">
        <v>2.68931632</v>
      </c>
    </row>
    <row r="20" spans="1:20">
      <c r="A20" s="15" t="s">
        <v>362</v>
      </c>
      <c r="B20" s="17" t="n">
        <v>1741</v>
      </c>
      <c r="C20" s="18">
        <f>(1528.0/B20*100)</f>
        <v/>
      </c>
      <c r="D20" s="19" t="n">
        <v>213</v>
      </c>
      <c r="E20" s="18" t="n">
        <v>45.81942853</v>
      </c>
      <c r="F20" s="20" t="n">
        <v>3.02667372</v>
      </c>
      <c r="G20" s="18" t="n">
        <v>3.56210405</v>
      </c>
      <c r="H20" s="20" t="n">
        <v>1.29878553</v>
      </c>
      <c r="I20" s="18" t="n">
        <v>23.00950367</v>
      </c>
      <c r="J20" s="20" t="n">
        <v>2.66919022</v>
      </c>
      <c r="K20" s="18" t="s">
        <v>349</v>
      </c>
      <c r="L20" s="20" t="s">
        <v>349</v>
      </c>
      <c r="M20" s="18" t="n">
        <v>0</v>
      </c>
      <c r="N20" s="20" t="n">
        <v>0</v>
      </c>
      <c r="O20" s="18" t="n">
        <v>0</v>
      </c>
      <c r="P20" s="20" t="n">
        <v>0</v>
      </c>
      <c r="Q20" s="18" t="n">
        <v>0</v>
      </c>
      <c r="R20" s="20" t="n">
        <v>0</v>
      </c>
      <c r="S20" s="18" t="n">
        <v>27.60896375</v>
      </c>
      <c r="T20" s="20" t="n">
        <v>2.61194466</v>
      </c>
    </row>
    <row r="21" spans="1:20">
      <c r="A21" s="15" t="s">
        <v>363</v>
      </c>
      <c r="B21" s="17" t="n">
        <v>2833</v>
      </c>
      <c r="C21" s="18">
        <f>(2377.0/B21*100)</f>
        <v/>
      </c>
      <c r="D21" s="19" t="n">
        <v>456</v>
      </c>
      <c r="E21" s="18" t="n">
        <v>57.36405963</v>
      </c>
      <c r="F21" s="20" t="n">
        <v>2.33832934</v>
      </c>
      <c r="G21" s="18" t="n">
        <v>2.24935522</v>
      </c>
      <c r="H21" s="20" t="n">
        <v>0.74014918</v>
      </c>
      <c r="I21" s="18" t="n">
        <v>20.61709966</v>
      </c>
      <c r="J21" s="20" t="n">
        <v>1.94946166</v>
      </c>
      <c r="K21" s="18" t="s">
        <v>349</v>
      </c>
      <c r="L21" s="20" t="s">
        <v>349</v>
      </c>
      <c r="M21" s="18" t="n">
        <v>0</v>
      </c>
      <c r="N21" s="20" t="n">
        <v>0</v>
      </c>
      <c r="O21" s="18" t="n">
        <v>0</v>
      </c>
      <c r="P21" s="20" t="n">
        <v>0</v>
      </c>
      <c r="Q21" s="18" t="n">
        <v>0</v>
      </c>
      <c r="R21" s="20" t="n">
        <v>0</v>
      </c>
      <c r="S21" s="18" t="n">
        <v>19.76948549</v>
      </c>
      <c r="T21" s="20" t="n">
        <v>1.89427764</v>
      </c>
    </row>
    <row r="22" spans="1:20">
      <c r="A22" s="15" t="s">
        <v>364</v>
      </c>
      <c r="B22" s="17" t="n">
        <v>3667</v>
      </c>
      <c r="C22" s="18">
        <f>(3189.0/B22*100)</f>
        <v/>
      </c>
      <c r="D22" s="19" t="n">
        <v>478</v>
      </c>
      <c r="E22" s="18" t="n">
        <v>31.35361475</v>
      </c>
      <c r="F22" s="20" t="n">
        <v>2.24165211</v>
      </c>
      <c r="G22" s="18" t="n">
        <v>2.93944442</v>
      </c>
      <c r="H22" s="20" t="n">
        <v>0.701122</v>
      </c>
      <c r="I22" s="18" t="n">
        <v>22.00148726</v>
      </c>
      <c r="J22" s="20" t="n">
        <v>1.98272345</v>
      </c>
      <c r="K22" s="18" t="s">
        <v>349</v>
      </c>
      <c r="L22" s="20" t="s">
        <v>349</v>
      </c>
      <c r="M22" s="18" t="n">
        <v>0.67297262</v>
      </c>
      <c r="N22" s="20" t="n">
        <v>0.39219945</v>
      </c>
      <c r="O22" s="18" t="n">
        <v>0.3535016</v>
      </c>
      <c r="P22" s="20" t="n">
        <v>0.35033017</v>
      </c>
      <c r="Q22" s="18" t="n">
        <v>0</v>
      </c>
      <c r="R22" s="20" t="n">
        <v>0</v>
      </c>
      <c r="S22" s="18" t="n">
        <v>42.67897935</v>
      </c>
      <c r="T22" s="20" t="n">
        <v>2.31680994</v>
      </c>
    </row>
    <row r="23" spans="1:20">
      <c r="A23" s="15" t="s">
        <v>365</v>
      </c>
      <c r="B23" s="17" t="n">
        <v>5792</v>
      </c>
      <c r="C23" s="18">
        <f>(5052.0/B23*100)</f>
        <v/>
      </c>
      <c r="D23" s="19" t="n">
        <v>740</v>
      </c>
      <c r="E23" s="18" t="n">
        <v>31.89296435</v>
      </c>
      <c r="F23" s="20" t="n">
        <v>2.3594659</v>
      </c>
      <c r="G23" s="18" t="n">
        <v>0.93515047</v>
      </c>
      <c r="H23" s="20" t="n">
        <v>0.52004163</v>
      </c>
      <c r="I23" s="18" t="n">
        <v>14.93569258</v>
      </c>
      <c r="J23" s="20" t="n">
        <v>1.9263972</v>
      </c>
      <c r="K23" s="18" t="s">
        <v>349</v>
      </c>
      <c r="L23" s="20" t="s">
        <v>349</v>
      </c>
      <c r="M23" s="18" t="n">
        <v>1.15246761</v>
      </c>
      <c r="N23" s="20" t="n">
        <v>0.63236702</v>
      </c>
      <c r="O23" s="18" t="n">
        <v>0</v>
      </c>
      <c r="P23" s="20" t="n">
        <v>0</v>
      </c>
      <c r="Q23" s="18" t="n">
        <v>0</v>
      </c>
      <c r="R23" s="20" t="n">
        <v>0</v>
      </c>
      <c r="S23" s="18" t="n">
        <v>51.08372499</v>
      </c>
      <c r="T23" s="20" t="n">
        <v>2.05306479</v>
      </c>
    </row>
    <row r="24" spans="1:20">
      <c r="A24" s="15" t="s">
        <v>366</v>
      </c>
      <c r="B24" s="17" t="n">
        <v>3309</v>
      </c>
      <c r="C24" s="18">
        <f>(2903.0/B24*100)</f>
        <v/>
      </c>
      <c r="D24" s="19" t="n">
        <v>406</v>
      </c>
      <c r="E24" s="18" t="n">
        <v>18.80188777</v>
      </c>
      <c r="F24" s="20" t="n">
        <v>1.72985405</v>
      </c>
      <c r="G24" s="18" t="n">
        <v>9.964013420000001</v>
      </c>
      <c r="H24" s="20" t="n">
        <v>1.40884517</v>
      </c>
      <c r="I24" s="18" t="n">
        <v>59.36470969</v>
      </c>
      <c r="J24" s="20" t="n">
        <v>2.54008166</v>
      </c>
      <c r="K24" s="18" t="s">
        <v>349</v>
      </c>
      <c r="L24" s="20" t="s">
        <v>349</v>
      </c>
      <c r="M24" s="18" t="n">
        <v>0</v>
      </c>
      <c r="N24" s="20" t="n">
        <v>0</v>
      </c>
      <c r="O24" s="18" t="n">
        <v>0</v>
      </c>
      <c r="P24" s="20" t="n">
        <v>0</v>
      </c>
      <c r="Q24" s="18" t="n">
        <v>0</v>
      </c>
      <c r="R24" s="20" t="n">
        <v>0</v>
      </c>
      <c r="S24" s="18" t="n">
        <v>11.86938912</v>
      </c>
      <c r="T24" s="20" t="n">
        <v>1.87172801</v>
      </c>
    </row>
    <row r="25" spans="1:20">
      <c r="A25" s="15" t="s">
        <v>367</v>
      </c>
      <c r="B25" s="17" t="n">
        <v>2669</v>
      </c>
      <c r="C25" s="18">
        <f>(2343.0/B25*100)</f>
        <v/>
      </c>
      <c r="D25" s="19" t="n">
        <v>326</v>
      </c>
      <c r="E25" s="18" t="n">
        <v>20.5416581</v>
      </c>
      <c r="F25" s="20" t="n">
        <v>2.66894054</v>
      </c>
      <c r="G25" s="18" t="n">
        <v>6.09459331</v>
      </c>
      <c r="H25" s="20" t="n">
        <v>1.59569672</v>
      </c>
      <c r="I25" s="18" t="n">
        <v>59.17611702</v>
      </c>
      <c r="J25" s="20" t="n">
        <v>2.95995922</v>
      </c>
      <c r="K25" s="18" t="s">
        <v>349</v>
      </c>
      <c r="L25" s="20" t="s">
        <v>349</v>
      </c>
      <c r="M25" s="18" t="n">
        <v>0.58672406</v>
      </c>
      <c r="N25" s="20" t="n">
        <v>0.49847186</v>
      </c>
      <c r="O25" s="18" t="n">
        <v>0</v>
      </c>
      <c r="P25" s="20" t="n">
        <v>0</v>
      </c>
      <c r="Q25" s="18" t="n">
        <v>0</v>
      </c>
      <c r="R25" s="20" t="n">
        <v>0</v>
      </c>
      <c r="S25" s="18" t="n">
        <v>13.60090751</v>
      </c>
      <c r="T25" s="20" t="n">
        <v>1.89845018</v>
      </c>
    </row>
    <row r="26" spans="1:20">
      <c r="A26" s="15" t="s">
        <v>368</v>
      </c>
      <c r="B26" s="17" t="n">
        <v>2419</v>
      </c>
      <c r="C26" s="18">
        <f>(2130.0/B26*100)</f>
        <v/>
      </c>
      <c r="D26" s="19" t="n">
        <v>289</v>
      </c>
      <c r="E26" s="18" t="n">
        <v>40.71822531</v>
      </c>
      <c r="F26" s="20" t="n">
        <v>3.33212994</v>
      </c>
      <c r="G26" s="18" t="n">
        <v>3.35533982</v>
      </c>
      <c r="H26" s="20" t="n">
        <v>0.97518907</v>
      </c>
      <c r="I26" s="18" t="n">
        <v>29.09350537</v>
      </c>
      <c r="J26" s="20" t="n">
        <v>2.96191369</v>
      </c>
      <c r="K26" s="18" t="s">
        <v>349</v>
      </c>
      <c r="L26" s="20" t="s">
        <v>349</v>
      </c>
      <c r="M26" s="18" t="n">
        <v>0.25971371</v>
      </c>
      <c r="N26" s="20" t="n">
        <v>0.26308117</v>
      </c>
      <c r="O26" s="18" t="n">
        <v>0</v>
      </c>
      <c r="P26" s="20" t="n">
        <v>0</v>
      </c>
      <c r="Q26" s="18" t="n">
        <v>0</v>
      </c>
      <c r="R26" s="20" t="n">
        <v>0</v>
      </c>
      <c r="S26" s="18" t="n">
        <v>26.57321579</v>
      </c>
      <c r="T26" s="20" t="n">
        <v>2.8990836</v>
      </c>
    </row>
    <row r="27" spans="1:20">
      <c r="A27" s="15" t="s">
        <v>369</v>
      </c>
      <c r="B27" s="17" t="n">
        <v>2683</v>
      </c>
      <c r="C27" s="18">
        <f>(2345.0/B27*100)</f>
        <v/>
      </c>
      <c r="D27" s="19" t="n">
        <v>338</v>
      </c>
      <c r="E27" s="18" t="n">
        <v>45.17614582</v>
      </c>
      <c r="F27" s="20" t="n">
        <v>2.75360418</v>
      </c>
      <c r="G27" s="18" t="n">
        <v>1.21158786</v>
      </c>
      <c r="H27" s="20" t="n">
        <v>0.59373277</v>
      </c>
      <c r="I27" s="18" t="n">
        <v>23.45362506</v>
      </c>
      <c r="J27" s="20" t="n">
        <v>2.03419151</v>
      </c>
      <c r="K27" s="18" t="s">
        <v>349</v>
      </c>
      <c r="L27" s="20" t="s">
        <v>349</v>
      </c>
      <c r="M27" s="18" t="n">
        <v>0</v>
      </c>
      <c r="N27" s="20" t="n">
        <v>0</v>
      </c>
      <c r="O27" s="18" t="n">
        <v>0</v>
      </c>
      <c r="P27" s="20" t="n">
        <v>0</v>
      </c>
      <c r="Q27" s="18" t="n">
        <v>0</v>
      </c>
      <c r="R27" s="20" t="n">
        <v>0</v>
      </c>
      <c r="S27" s="18" t="n">
        <v>30.15864127</v>
      </c>
      <c r="T27" s="20" t="n">
        <v>2.24676049</v>
      </c>
    </row>
    <row r="28" spans="1:20">
      <c r="A28" s="15" t="s">
        <v>370</v>
      </c>
      <c r="B28" s="17" t="n">
        <v>3803</v>
      </c>
      <c r="C28" s="18">
        <f>(3350.0/B28*100)</f>
        <v/>
      </c>
      <c r="D28" s="19" t="n">
        <v>453</v>
      </c>
      <c r="E28" s="18" t="n">
        <v>63.47895961</v>
      </c>
      <c r="F28" s="20" t="n">
        <v>2.10474517</v>
      </c>
      <c r="G28" s="18" t="n">
        <v>2.56048262</v>
      </c>
      <c r="H28" s="20" t="n">
        <v>0.79887317</v>
      </c>
      <c r="I28" s="18" t="n">
        <v>13.99714871</v>
      </c>
      <c r="J28" s="20" t="n">
        <v>1.73248337</v>
      </c>
      <c r="K28" s="18" t="s">
        <v>349</v>
      </c>
      <c r="L28" s="20" t="s">
        <v>349</v>
      </c>
      <c r="M28" s="18" t="n">
        <v>0.64665046</v>
      </c>
      <c r="N28" s="20" t="n">
        <v>0.38481524</v>
      </c>
      <c r="O28" s="18" t="n">
        <v>0</v>
      </c>
      <c r="P28" s="20" t="n">
        <v>0</v>
      </c>
      <c r="Q28" s="18" t="n">
        <v>0</v>
      </c>
      <c r="R28" s="20" t="n">
        <v>0</v>
      </c>
      <c r="S28" s="18" t="n">
        <v>19.3167586</v>
      </c>
      <c r="T28" s="20" t="n">
        <v>1.96906939</v>
      </c>
    </row>
    <row r="29" spans="1:20">
      <c r="A29" s="15" t="s">
        <v>371</v>
      </c>
      <c r="B29" s="17" t="n">
        <v>2700</v>
      </c>
      <c r="C29" s="18">
        <f>(2322.0/B29*100)</f>
        <v/>
      </c>
      <c r="D29" s="19" t="n">
        <v>378</v>
      </c>
      <c r="E29" s="18" t="n">
        <v>46.52245663</v>
      </c>
      <c r="F29" s="20" t="n">
        <v>2.68227435</v>
      </c>
      <c r="G29" s="18" t="n">
        <v>1.31958094</v>
      </c>
      <c r="H29" s="20" t="n">
        <v>0.57351064</v>
      </c>
      <c r="I29" s="18" t="n">
        <v>30.10127383</v>
      </c>
      <c r="J29" s="20" t="n">
        <v>2.693357</v>
      </c>
      <c r="K29" s="18" t="s">
        <v>349</v>
      </c>
      <c r="L29" s="20" t="s">
        <v>349</v>
      </c>
      <c r="M29" s="18" t="n">
        <v>1.30936122</v>
      </c>
      <c r="N29" s="20" t="n">
        <v>0.90997839</v>
      </c>
      <c r="O29" s="18" t="n">
        <v>0</v>
      </c>
      <c r="P29" s="20" t="n">
        <v>0</v>
      </c>
      <c r="Q29" s="18" t="n">
        <v>0</v>
      </c>
      <c r="R29" s="20" t="n">
        <v>0</v>
      </c>
      <c r="S29" s="18" t="n">
        <v>20.74732738</v>
      </c>
      <c r="T29" s="20" t="n">
        <v>1.94671587</v>
      </c>
    </row>
    <row r="30" spans="1:20">
      <c r="A30" s="15" t="s">
        <v>372</v>
      </c>
      <c r="B30" s="17" t="n">
        <v>2257</v>
      </c>
      <c r="C30" s="18">
        <f>(1957.0/B30*100)</f>
        <v/>
      </c>
      <c r="D30" s="19" t="n">
        <v>300</v>
      </c>
      <c r="E30" s="18" t="n">
        <v>39.20876131</v>
      </c>
      <c r="F30" s="20" t="n">
        <v>3.09258436</v>
      </c>
      <c r="G30" s="18" t="n">
        <v>0.6821377</v>
      </c>
      <c r="H30" s="20" t="n">
        <v>0.46184224</v>
      </c>
      <c r="I30" s="18" t="n">
        <v>21.9464888</v>
      </c>
      <c r="J30" s="20" t="n">
        <v>2.41363275</v>
      </c>
      <c r="K30" s="18" t="s">
        <v>349</v>
      </c>
      <c r="L30" s="20" t="s">
        <v>349</v>
      </c>
      <c r="M30" s="18" t="n">
        <v>0.66389067</v>
      </c>
      <c r="N30" s="20" t="n">
        <v>0.51530692</v>
      </c>
      <c r="O30" s="18" t="n">
        <v>0</v>
      </c>
      <c r="P30" s="20" t="n">
        <v>0</v>
      </c>
      <c r="Q30" s="18" t="n">
        <v>0</v>
      </c>
      <c r="R30" s="20" t="n">
        <v>0</v>
      </c>
      <c r="S30" s="18" t="n">
        <v>37.49872152</v>
      </c>
      <c r="T30" s="20" t="n">
        <v>2.79380849</v>
      </c>
    </row>
    <row r="31" spans="1:20">
      <c r="A31" s="15" t="s">
        <v>373</v>
      </c>
      <c r="B31" s="17" t="n">
        <v>2706</v>
      </c>
      <c r="C31" s="18">
        <f>(2387.0/B31*100)</f>
        <v/>
      </c>
      <c r="D31" s="19" t="n">
        <v>319</v>
      </c>
      <c r="E31" s="18" t="n">
        <v>36.80108914</v>
      </c>
      <c r="F31" s="20" t="n">
        <v>3.03346118</v>
      </c>
      <c r="G31" s="18" t="n">
        <v>2.1011739</v>
      </c>
      <c r="H31" s="20" t="n">
        <v>0.68069501</v>
      </c>
      <c r="I31" s="18" t="n">
        <v>23.34524983</v>
      </c>
      <c r="J31" s="20" t="n">
        <v>2.25461706</v>
      </c>
      <c r="K31" s="18" t="s">
        <v>349</v>
      </c>
      <c r="L31" s="20" t="s">
        <v>349</v>
      </c>
      <c r="M31" s="18" t="n">
        <v>1.24734043</v>
      </c>
      <c r="N31" s="20" t="n">
        <v>0.62944022</v>
      </c>
      <c r="O31" s="18" t="n">
        <v>0</v>
      </c>
      <c r="P31" s="20" t="n">
        <v>0</v>
      </c>
      <c r="Q31" s="18" t="n">
        <v>0</v>
      </c>
      <c r="R31" s="20" t="n">
        <v>0</v>
      </c>
      <c r="S31" s="18" t="n">
        <v>36.5051467</v>
      </c>
      <c r="T31" s="20" t="n">
        <v>2.64203235</v>
      </c>
    </row>
    <row r="32" spans="1:20">
      <c r="A32" s="15" t="s">
        <v>374</v>
      </c>
      <c r="B32" s="17" t="n">
        <v>2209</v>
      </c>
      <c r="C32" s="18">
        <f>(1846.0/B32*100)</f>
        <v/>
      </c>
      <c r="D32" s="19" t="n">
        <v>363</v>
      </c>
      <c r="E32" s="18" t="n">
        <v>33.47233556</v>
      </c>
      <c r="F32" s="20" t="n">
        <v>2.32475104</v>
      </c>
      <c r="G32" s="18" t="n">
        <v>3.38757169</v>
      </c>
      <c r="H32" s="20" t="n">
        <v>0.84563895</v>
      </c>
      <c r="I32" s="18" t="n">
        <v>32.27749163</v>
      </c>
      <c r="J32" s="20" t="n">
        <v>2.5822217</v>
      </c>
      <c r="K32" s="18" t="s">
        <v>349</v>
      </c>
      <c r="L32" s="20" t="s">
        <v>349</v>
      </c>
      <c r="M32" s="18" t="n">
        <v>0.57823803</v>
      </c>
      <c r="N32" s="20" t="n">
        <v>0.37981549</v>
      </c>
      <c r="O32" s="18" t="n">
        <v>0</v>
      </c>
      <c r="P32" s="20" t="n">
        <v>0</v>
      </c>
      <c r="Q32" s="18" t="n">
        <v>0</v>
      </c>
      <c r="R32" s="20" t="n">
        <v>0</v>
      </c>
      <c r="S32" s="18" t="n">
        <v>30.28436309</v>
      </c>
      <c r="T32" s="20" t="n">
        <v>2.31583883</v>
      </c>
    </row>
    <row r="33" spans="1:20">
      <c r="A33" s="15" t="s">
        <v>375</v>
      </c>
      <c r="B33" s="17" t="n">
        <v>3651</v>
      </c>
      <c r="C33" s="18">
        <f>(3216.0/B33*100)</f>
        <v/>
      </c>
      <c r="D33" s="19" t="n">
        <v>435</v>
      </c>
      <c r="E33" s="18" t="n">
        <v>32.2802373</v>
      </c>
      <c r="F33" s="20" t="n">
        <v>2.82048986</v>
      </c>
      <c r="G33" s="18" t="n">
        <v>1.34732473</v>
      </c>
      <c r="H33" s="20" t="n">
        <v>0.54771355</v>
      </c>
      <c r="I33" s="18" t="n">
        <v>38.00055517</v>
      </c>
      <c r="J33" s="20" t="n">
        <v>3.0746364</v>
      </c>
      <c r="K33" s="18" t="s">
        <v>349</v>
      </c>
      <c r="L33" s="20" t="s">
        <v>349</v>
      </c>
      <c r="M33" s="18" t="n">
        <v>1.10415526</v>
      </c>
      <c r="N33" s="20" t="n">
        <v>0.8404007</v>
      </c>
      <c r="O33" s="18" t="n">
        <v>0</v>
      </c>
      <c r="P33" s="20" t="n">
        <v>0</v>
      </c>
      <c r="Q33" s="18" t="n">
        <v>0</v>
      </c>
      <c r="R33" s="20" t="n">
        <v>0</v>
      </c>
      <c r="S33" s="18" t="n">
        <v>27.26772753</v>
      </c>
      <c r="T33" s="20" t="n">
        <v>2.50785284</v>
      </c>
    </row>
    <row r="34" spans="1:20">
      <c r="A34" s="15" t="s">
        <v>376</v>
      </c>
      <c r="B34" s="17" t="n">
        <v>3035</v>
      </c>
      <c r="C34" s="18">
        <f>(2592.0/B34*100)</f>
        <v/>
      </c>
      <c r="D34" s="19" t="n">
        <v>443</v>
      </c>
      <c r="E34" s="18" t="n">
        <v>48.21653653</v>
      </c>
      <c r="F34" s="20" t="n">
        <v>2.95247703</v>
      </c>
      <c r="G34" s="18" t="n">
        <v>1.23229972</v>
      </c>
      <c r="H34" s="20" t="n">
        <v>0.57972068</v>
      </c>
      <c r="I34" s="18" t="n">
        <v>16.77296319</v>
      </c>
      <c r="J34" s="20" t="n">
        <v>1.85388945</v>
      </c>
      <c r="K34" s="18" t="s">
        <v>349</v>
      </c>
      <c r="L34" s="20" t="s">
        <v>349</v>
      </c>
      <c r="M34" s="18" t="n">
        <v>2.23276131</v>
      </c>
      <c r="N34" s="20" t="n">
        <v>0.8902158999999999</v>
      </c>
      <c r="O34" s="18" t="n">
        <v>0</v>
      </c>
      <c r="P34" s="20" t="n">
        <v>0</v>
      </c>
      <c r="Q34" s="18" t="n">
        <v>0</v>
      </c>
      <c r="R34" s="20" t="n">
        <v>0</v>
      </c>
      <c r="S34" s="18" t="n">
        <v>31.54543926</v>
      </c>
      <c r="T34" s="20" t="n">
        <v>2.71051866</v>
      </c>
    </row>
    <row r="35" spans="1:20">
      <c r="A35" s="15" t="s">
        <v>377</v>
      </c>
      <c r="B35" s="17" t="n">
        <v>2901</v>
      </c>
      <c r="C35" s="18">
        <f>(2528.0/B35*100)</f>
        <v/>
      </c>
      <c r="D35" s="19" t="n">
        <v>373</v>
      </c>
      <c r="E35" s="18" t="n">
        <v>39.67102043</v>
      </c>
      <c r="F35" s="20" t="n">
        <v>3.44609258</v>
      </c>
      <c r="G35" s="18" t="n">
        <v>2.49752942</v>
      </c>
      <c r="H35" s="20" t="n">
        <v>1.10266267</v>
      </c>
      <c r="I35" s="18" t="n">
        <v>21.99811285</v>
      </c>
      <c r="J35" s="20" t="n">
        <v>2.64405304</v>
      </c>
      <c r="K35" s="18" t="s">
        <v>349</v>
      </c>
      <c r="L35" s="20" t="s">
        <v>349</v>
      </c>
      <c r="M35" s="18" t="n">
        <v>0.11046963</v>
      </c>
      <c r="N35" s="20" t="n">
        <v>0.11141296</v>
      </c>
      <c r="O35" s="18" t="n">
        <v>0.7442885</v>
      </c>
      <c r="P35" s="20" t="n">
        <v>0.70300394</v>
      </c>
      <c r="Q35" s="18" t="n">
        <v>0</v>
      </c>
      <c r="R35" s="20" t="n">
        <v>0</v>
      </c>
      <c r="S35" s="18" t="n">
        <v>34.97857917</v>
      </c>
      <c r="T35" s="20" t="n">
        <v>3.00600915</v>
      </c>
    </row>
    <row r="36" spans="1:20">
      <c r="A36" s="15" t="s">
        <v>378</v>
      </c>
      <c r="B36" s="17" t="n">
        <v>3404</v>
      </c>
      <c r="C36" s="18">
        <f>(2960.0/B36*100)</f>
        <v/>
      </c>
      <c r="D36" s="19" t="n">
        <v>444</v>
      </c>
      <c r="E36" s="18" t="n">
        <v>36.19863788</v>
      </c>
      <c r="F36" s="20" t="n">
        <v>2.26431003</v>
      </c>
      <c r="G36" s="18" t="n">
        <v>1.12127367</v>
      </c>
      <c r="H36" s="20" t="n">
        <v>0.45012369</v>
      </c>
      <c r="I36" s="18" t="n">
        <v>29.4583857</v>
      </c>
      <c r="J36" s="20" t="n">
        <v>2.734091</v>
      </c>
      <c r="K36" s="18" t="s">
        <v>349</v>
      </c>
      <c r="L36" s="20" t="s">
        <v>349</v>
      </c>
      <c r="M36" s="18" t="n">
        <v>0.29604611</v>
      </c>
      <c r="N36" s="20" t="n">
        <v>0.29840189</v>
      </c>
      <c r="O36" s="18" t="n">
        <v>0</v>
      </c>
      <c r="P36" s="20" t="n">
        <v>0</v>
      </c>
      <c r="Q36" s="18" t="n">
        <v>0</v>
      </c>
      <c r="R36" s="20" t="n">
        <v>0</v>
      </c>
      <c r="S36" s="18" t="n">
        <v>32.92565663</v>
      </c>
      <c r="T36" s="20" t="n">
        <v>2.27628821</v>
      </c>
    </row>
    <row r="37" spans="1:20">
      <c r="A37" s="15" t="s">
        <v>379</v>
      </c>
      <c r="B37" s="17" t="n">
        <v>2731</v>
      </c>
      <c r="C37" s="18">
        <f>(2396.0/B37*100)</f>
        <v/>
      </c>
      <c r="D37" s="19" t="n">
        <v>335</v>
      </c>
      <c r="E37" s="18" t="n">
        <v>43.88501355</v>
      </c>
      <c r="F37" s="20" t="n">
        <v>2.74014348</v>
      </c>
      <c r="G37" s="18" t="n">
        <v>1.09183702</v>
      </c>
      <c r="H37" s="20" t="n">
        <v>0.53590357</v>
      </c>
      <c r="I37" s="18" t="n">
        <v>18.47740375</v>
      </c>
      <c r="J37" s="20" t="n">
        <v>2.52044014</v>
      </c>
      <c r="K37" s="18" t="s">
        <v>349</v>
      </c>
      <c r="L37" s="20" t="s">
        <v>349</v>
      </c>
      <c r="M37" s="18" t="n">
        <v>0.57351291</v>
      </c>
      <c r="N37" s="20" t="n">
        <v>0.4010941</v>
      </c>
      <c r="O37" s="18" t="n">
        <v>0</v>
      </c>
      <c r="P37" s="20" t="n">
        <v>0</v>
      </c>
      <c r="Q37" s="18" t="n">
        <v>0</v>
      </c>
      <c r="R37" s="20" t="n">
        <v>0</v>
      </c>
      <c r="S37" s="18" t="n">
        <v>35.97223276</v>
      </c>
      <c r="T37" s="20" t="n">
        <v>2.44892363</v>
      </c>
    </row>
    <row r="38" spans="1:20">
      <c r="A38" s="15" t="s">
        <v>380</v>
      </c>
      <c r="B38" s="17" t="n">
        <v>2807</v>
      </c>
      <c r="C38" s="18">
        <f>(2350.0/B38*100)</f>
        <v/>
      </c>
      <c r="D38" s="19" t="n">
        <v>457</v>
      </c>
      <c r="E38" s="18" t="n">
        <v>33.15585574</v>
      </c>
      <c r="F38" s="20" t="n">
        <v>2.70824596</v>
      </c>
      <c r="G38" s="18" t="n">
        <v>6.25284973</v>
      </c>
      <c r="H38" s="20" t="n">
        <v>1.46041235</v>
      </c>
      <c r="I38" s="18" t="n">
        <v>29.81076649</v>
      </c>
      <c r="J38" s="20" t="n">
        <v>2.41818699</v>
      </c>
      <c r="K38" s="18" t="s">
        <v>349</v>
      </c>
      <c r="L38" s="20" t="s">
        <v>349</v>
      </c>
      <c r="M38" s="18" t="n">
        <v>0.25934568</v>
      </c>
      <c r="N38" s="20" t="n">
        <v>0.25908454</v>
      </c>
      <c r="O38" s="18" t="n">
        <v>0.30365125</v>
      </c>
      <c r="P38" s="20" t="n">
        <v>0.30655581</v>
      </c>
      <c r="Q38" s="18" t="n">
        <v>0</v>
      </c>
      <c r="R38" s="20" t="n">
        <v>0</v>
      </c>
      <c r="S38" s="18" t="n">
        <v>30.21753111</v>
      </c>
      <c r="T38" s="20" t="n">
        <v>2.45556456</v>
      </c>
    </row>
    <row r="39" spans="1:20">
      <c r="A39" s="15" t="s">
        <v>381</v>
      </c>
      <c r="B39" s="17" t="n">
        <v>2938</v>
      </c>
      <c r="C39" s="18">
        <f>(2583.0/B39*100)</f>
        <v/>
      </c>
      <c r="D39" s="19" t="n">
        <v>355</v>
      </c>
      <c r="E39" s="18" t="n">
        <v>49.34329248</v>
      </c>
      <c r="F39" s="20" t="n">
        <v>2.9522001</v>
      </c>
      <c r="G39" s="18" t="n">
        <v>9.322943840000001</v>
      </c>
      <c r="H39" s="20" t="n">
        <v>1.58009596</v>
      </c>
      <c r="I39" s="18" t="n">
        <v>18.1997885</v>
      </c>
      <c r="J39" s="20" t="n">
        <v>2.07172827</v>
      </c>
      <c r="K39" s="18" t="s">
        <v>349</v>
      </c>
      <c r="L39" s="20" t="s">
        <v>349</v>
      </c>
      <c r="M39" s="18" t="n">
        <v>0.62783811</v>
      </c>
      <c r="N39" s="20" t="n">
        <v>0.37377965</v>
      </c>
      <c r="O39" s="18" t="n">
        <v>0</v>
      </c>
      <c r="P39" s="20" t="n">
        <v>0</v>
      </c>
      <c r="Q39" s="18" t="n">
        <v>0</v>
      </c>
      <c r="R39" s="20" t="n">
        <v>0</v>
      </c>
      <c r="S39" s="18" t="n">
        <v>22.50613707</v>
      </c>
      <c r="T39" s="20" t="n">
        <v>2.45856934</v>
      </c>
    </row>
    <row r="40" spans="1:20">
      <c r="A40" s="15" t="s">
        <v>382</v>
      </c>
      <c r="B40" s="17" t="n">
        <v>6922</v>
      </c>
      <c r="C40" s="18">
        <f>(6086.0/B40*100)</f>
        <v/>
      </c>
      <c r="D40" s="19" t="n">
        <v>836</v>
      </c>
      <c r="E40" s="18" t="n">
        <v>40.28417287</v>
      </c>
      <c r="F40" s="20" t="n">
        <v>2.74759638</v>
      </c>
      <c r="G40" s="18" t="n">
        <v>1.34307404</v>
      </c>
      <c r="H40" s="20" t="n">
        <v>0.57069093</v>
      </c>
      <c r="I40" s="18" t="n">
        <v>22.69841519</v>
      </c>
      <c r="J40" s="20" t="n">
        <v>2.27369905</v>
      </c>
      <c r="K40" s="18" t="s">
        <v>349</v>
      </c>
      <c r="L40" s="20" t="s">
        <v>349</v>
      </c>
      <c r="M40" s="18" t="n">
        <v>0.58764883</v>
      </c>
      <c r="N40" s="20" t="n">
        <v>0.10028835</v>
      </c>
      <c r="O40" s="18" t="n">
        <v>0</v>
      </c>
      <c r="P40" s="20" t="n">
        <v>0</v>
      </c>
      <c r="Q40" s="18" t="n">
        <v>0</v>
      </c>
      <c r="R40" s="20" t="n">
        <v>0</v>
      </c>
      <c r="S40" s="18" t="n">
        <v>35.08668907</v>
      </c>
      <c r="T40" s="20" t="n">
        <v>2.52246344</v>
      </c>
    </row>
    <row r="41" spans="1:20">
      <c r="A41" s="15" t="s">
        <v>383</v>
      </c>
      <c r="B41" s="17" t="n">
        <v>2854</v>
      </c>
      <c r="C41" s="18">
        <f>(2484.0/B41*100)</f>
        <v/>
      </c>
      <c r="D41" s="19" t="n">
        <v>370</v>
      </c>
      <c r="E41" s="18" t="n">
        <v>64.55301068</v>
      </c>
      <c r="F41" s="20" t="n">
        <v>2.77405829</v>
      </c>
      <c r="G41" s="18" t="n">
        <v>0.9840727500000001</v>
      </c>
      <c r="H41" s="20" t="n">
        <v>0.56737171</v>
      </c>
      <c r="I41" s="18" t="n">
        <v>23.88808453</v>
      </c>
      <c r="J41" s="20" t="n">
        <v>2.38376727</v>
      </c>
      <c r="K41" s="18" t="s">
        <v>349</v>
      </c>
      <c r="L41" s="20" t="s">
        <v>349</v>
      </c>
      <c r="M41" s="18" t="n">
        <v>0.30288297</v>
      </c>
      <c r="N41" s="20" t="n">
        <v>0.27122935</v>
      </c>
      <c r="O41" s="18" t="n">
        <v>0</v>
      </c>
      <c r="P41" s="20" t="n">
        <v>0</v>
      </c>
      <c r="Q41" s="18" t="n">
        <v>0</v>
      </c>
      <c r="R41" s="20" t="n">
        <v>0</v>
      </c>
      <c r="S41" s="18" t="n">
        <v>10.27194907</v>
      </c>
      <c r="T41" s="20" t="n">
        <v>1.72520789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row>
    <row r="46" spans="1:20">
      <c r="A46" s="15" t="s">
        <v>388</v>
      </c>
      <c r="B46" s="17" t="n">
        <v>12073</v>
      </c>
      <c r="C46" s="18">
        <f>(10702.0/B46*100)</f>
        <v/>
      </c>
      <c r="D46" s="19" t="n">
        <v>1371</v>
      </c>
      <c r="E46" s="18" t="n">
        <v>54.69410322</v>
      </c>
      <c r="F46" s="20" t="n">
        <v>1.86117407</v>
      </c>
      <c r="G46" s="18" t="n">
        <v>4.05983146</v>
      </c>
      <c r="H46" s="20" t="n">
        <v>0.68741536</v>
      </c>
      <c r="I46" s="18" t="n">
        <v>5.20683236</v>
      </c>
      <c r="J46" s="20" t="n">
        <v>0.97241924</v>
      </c>
      <c r="K46" s="18" t="s">
        <v>349</v>
      </c>
      <c r="L46" s="20" t="s">
        <v>349</v>
      </c>
      <c r="M46" s="18" t="n">
        <v>0.85549326</v>
      </c>
      <c r="N46" s="20" t="n">
        <v>0.28870824</v>
      </c>
      <c r="O46" s="18" t="n">
        <v>0</v>
      </c>
      <c r="P46" s="20" t="n">
        <v>0</v>
      </c>
      <c r="Q46" s="18" t="n">
        <v>0</v>
      </c>
      <c r="R46" s="20" t="n">
        <v>0</v>
      </c>
      <c r="S46" s="18" t="n">
        <v>35.18373971</v>
      </c>
      <c r="T46" s="20" t="n">
        <v>1.78735335</v>
      </c>
    </row>
    <row r="47" spans="1:20">
      <c r="A47" s="15" t="s">
        <v>389</v>
      </c>
      <c r="B47" s="17" t="n">
        <v>2823</v>
      </c>
      <c r="C47" s="18">
        <f>(2474.0/B47*100)</f>
        <v/>
      </c>
      <c r="D47" s="19" t="n">
        <v>349</v>
      </c>
      <c r="E47" s="18" t="n">
        <v>37.50154737</v>
      </c>
      <c r="F47" s="20" t="n">
        <v>2.32850093</v>
      </c>
      <c r="G47" s="18" t="n">
        <v>5.3553333</v>
      </c>
      <c r="H47" s="20" t="n">
        <v>1.13512021</v>
      </c>
      <c r="I47" s="18" t="n">
        <v>19.55455883</v>
      </c>
      <c r="J47" s="20" t="n">
        <v>2.74714995</v>
      </c>
      <c r="K47" s="18" t="s">
        <v>349</v>
      </c>
      <c r="L47" s="20" t="s">
        <v>349</v>
      </c>
      <c r="M47" s="18" t="n">
        <v>0</v>
      </c>
      <c r="N47" s="20" t="n">
        <v>0</v>
      </c>
      <c r="O47" s="18" t="n">
        <v>0</v>
      </c>
      <c r="P47" s="20" t="n">
        <v>0</v>
      </c>
      <c r="Q47" s="18" t="n">
        <v>0</v>
      </c>
      <c r="R47" s="20" t="n">
        <v>0</v>
      </c>
      <c r="S47" s="18" t="n">
        <v>37.58856051</v>
      </c>
      <c r="T47" s="20" t="n">
        <v>2.68283514</v>
      </c>
    </row>
    <row r="48" spans="1:20">
      <c r="A48" s="15" t="s">
        <v>390</v>
      </c>
      <c r="B48" s="17" t="n">
        <v>4682</v>
      </c>
      <c r="C48" s="18">
        <f>(4107.0/B48*100)</f>
        <v/>
      </c>
      <c r="D48" s="19" t="n">
        <v>575</v>
      </c>
      <c r="E48" s="18" t="n">
        <v>29.03173649</v>
      </c>
      <c r="F48" s="20" t="n">
        <v>2.94559228</v>
      </c>
      <c r="G48" s="18" t="n">
        <v>6.60508647</v>
      </c>
      <c r="H48" s="20" t="n">
        <v>1.18373997</v>
      </c>
      <c r="I48" s="18" t="n">
        <v>54.44666668</v>
      </c>
      <c r="J48" s="20" t="n">
        <v>3.12459095</v>
      </c>
      <c r="K48" s="18" t="s">
        <v>349</v>
      </c>
      <c r="L48" s="20" t="s">
        <v>349</v>
      </c>
      <c r="M48" s="18" t="n">
        <v>0.0498353</v>
      </c>
      <c r="N48" s="20" t="n">
        <v>0.04942934</v>
      </c>
      <c r="O48" s="18" t="n">
        <v>0.34684921</v>
      </c>
      <c r="P48" s="20" t="n">
        <v>0.33396963</v>
      </c>
      <c r="Q48" s="18" t="n">
        <v>0</v>
      </c>
      <c r="R48" s="20" t="n">
        <v>0</v>
      </c>
      <c r="S48" s="18" t="n">
        <v>9.519825839999999</v>
      </c>
      <c r="T48" s="20" t="n">
        <v>1.9594221</v>
      </c>
    </row>
    <row r="49" spans="1:20">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row>
    <row r="50" spans="1:20">
      <c r="A50" s="15" t="s">
        <v>392</v>
      </c>
      <c r="B50" s="17" t="n">
        <v>6158</v>
      </c>
      <c r="C50" s="18">
        <f>(5413.0/B50*100)</f>
        <v/>
      </c>
      <c r="D50" s="19" t="n">
        <v>745</v>
      </c>
      <c r="E50" s="18" t="n">
        <v>67.37890265</v>
      </c>
      <c r="F50" s="20" t="n">
        <v>2.18002899</v>
      </c>
      <c r="G50" s="18" t="n">
        <v>2.12425427</v>
      </c>
      <c r="H50" s="20" t="n">
        <v>0.66441546</v>
      </c>
      <c r="I50" s="18" t="n">
        <v>10.33100267</v>
      </c>
      <c r="J50" s="20" t="n">
        <v>2.18018205</v>
      </c>
      <c r="K50" s="18" t="s">
        <v>349</v>
      </c>
      <c r="L50" s="20" t="s">
        <v>349</v>
      </c>
      <c r="M50" s="18" t="n">
        <v>0.42999675</v>
      </c>
      <c r="N50" s="20" t="n">
        <v>0.32435868</v>
      </c>
      <c r="O50" s="18" t="n">
        <v>1.16601412</v>
      </c>
      <c r="P50" s="20" t="n">
        <v>0.28652825</v>
      </c>
      <c r="Q50" s="18" t="n">
        <v>0</v>
      </c>
      <c r="R50" s="20" t="n">
        <v>0</v>
      </c>
      <c r="S50" s="18" t="n">
        <v>18.56982956</v>
      </c>
      <c r="T50" s="20" t="n">
        <v>1.59581978</v>
      </c>
    </row>
    <row r="51" spans="1:20">
      <c r="A51" s="15" t="s">
        <v>393</v>
      </c>
      <c r="B51" s="17" t="n">
        <v>3494</v>
      </c>
      <c r="C51" s="18">
        <f>(2805.0/B51*100)</f>
        <v/>
      </c>
      <c r="D51" s="19" t="n">
        <v>689</v>
      </c>
      <c r="E51" s="18" t="n">
        <v>63.010494</v>
      </c>
      <c r="F51" s="20" t="n">
        <v>2.14784462</v>
      </c>
      <c r="G51" s="18" t="n">
        <v>1.14015168</v>
      </c>
      <c r="H51" s="20" t="n">
        <v>0.34378175</v>
      </c>
      <c r="I51" s="18" t="n">
        <v>5.89653026</v>
      </c>
      <c r="J51" s="20" t="n">
        <v>0.96452247</v>
      </c>
      <c r="K51" s="18" t="s">
        <v>349</v>
      </c>
      <c r="L51" s="20" t="s">
        <v>349</v>
      </c>
      <c r="M51" s="18" t="n">
        <v>0.84822094</v>
      </c>
      <c r="N51" s="20" t="n">
        <v>0.34051737</v>
      </c>
      <c r="O51" s="18" t="n">
        <v>0.2742303</v>
      </c>
      <c r="P51" s="20" t="n">
        <v>0.25409984</v>
      </c>
      <c r="Q51" s="18" t="n">
        <v>0</v>
      </c>
      <c r="R51" s="20" t="n">
        <v>0</v>
      </c>
      <c r="S51" s="18" t="n">
        <v>28.83037281</v>
      </c>
      <c r="T51" s="20" t="n">
        <v>2.11783644</v>
      </c>
    </row>
    <row r="52" spans="1:20">
      <c r="A52" s="15" t="s">
        <v>394</v>
      </c>
      <c r="B52" s="17" t="n">
        <v>3013</v>
      </c>
      <c r="C52" s="18">
        <f>(2644.0/B52*100)</f>
        <v/>
      </c>
      <c r="D52" s="19" t="n">
        <v>369</v>
      </c>
      <c r="E52" s="18" t="n">
        <v>40.0350559</v>
      </c>
      <c r="F52" s="20" t="n">
        <v>2.57280982</v>
      </c>
      <c r="G52" s="18" t="n">
        <v>0.53588361</v>
      </c>
      <c r="H52" s="20" t="n">
        <v>0.37737393</v>
      </c>
      <c r="I52" s="18" t="n">
        <v>16.2852164</v>
      </c>
      <c r="J52" s="20" t="n">
        <v>1.93162784</v>
      </c>
      <c r="K52" s="18" t="s">
        <v>349</v>
      </c>
      <c r="L52" s="20" t="s">
        <v>349</v>
      </c>
      <c r="M52" s="18" t="n">
        <v>0</v>
      </c>
      <c r="N52" s="20" t="n">
        <v>0</v>
      </c>
      <c r="O52" s="18" t="n">
        <v>0</v>
      </c>
      <c r="P52" s="20" t="n">
        <v>0</v>
      </c>
      <c r="Q52" s="18" t="n">
        <v>0</v>
      </c>
      <c r="R52" s="20" t="n">
        <v>0</v>
      </c>
      <c r="S52" s="18" t="n">
        <v>43.1438441</v>
      </c>
      <c r="T52" s="20" t="n">
        <v>2.78302191</v>
      </c>
    </row>
    <row r="53" spans="1:20">
      <c r="A53" s="15" t="s">
        <v>395</v>
      </c>
      <c r="B53" s="17" t="n">
        <v>2760</v>
      </c>
      <c r="C53" s="18">
        <f>(2408.0/B53*100)</f>
        <v/>
      </c>
      <c r="D53" s="19" t="n">
        <v>352</v>
      </c>
      <c r="E53" s="18" t="n">
        <v>46.94422739</v>
      </c>
      <c r="F53" s="20" t="n">
        <v>2.90279945</v>
      </c>
      <c r="G53" s="18" t="n">
        <v>0.98687623</v>
      </c>
      <c r="H53" s="20" t="n">
        <v>0.49572441</v>
      </c>
      <c r="I53" s="18" t="n">
        <v>13.88937065</v>
      </c>
      <c r="J53" s="20" t="n">
        <v>2.03124619</v>
      </c>
      <c r="K53" s="18" t="s">
        <v>349</v>
      </c>
      <c r="L53" s="20" t="s">
        <v>349</v>
      </c>
      <c r="M53" s="18" t="n">
        <v>0.24663789</v>
      </c>
      <c r="N53" s="20" t="n">
        <v>0.2461887</v>
      </c>
      <c r="O53" s="18" t="n">
        <v>0</v>
      </c>
      <c r="P53" s="20" t="n">
        <v>0</v>
      </c>
      <c r="Q53" s="18" t="n">
        <v>0</v>
      </c>
      <c r="R53" s="20" t="n">
        <v>0</v>
      </c>
      <c r="S53" s="18" t="n">
        <v>37.93288784</v>
      </c>
      <c r="T53" s="20" t="n">
        <v>2.80895739</v>
      </c>
    </row>
    <row r="54" spans="1:20">
      <c r="A54" s="15" t="s">
        <v>396</v>
      </c>
      <c r="B54" s="17" t="n">
        <v>2474</v>
      </c>
      <c r="C54" s="18">
        <f>(2039.0/B54*100)</f>
        <v/>
      </c>
      <c r="D54" s="19" t="n">
        <v>435</v>
      </c>
      <c r="E54" s="18" t="n">
        <v>53.71968148</v>
      </c>
      <c r="F54" s="20" t="n">
        <v>2.59235593</v>
      </c>
      <c r="G54" s="18" t="n">
        <v>0.2337792</v>
      </c>
      <c r="H54" s="20" t="n">
        <v>0.21329207</v>
      </c>
      <c r="I54" s="18" t="n">
        <v>0.71912119</v>
      </c>
      <c r="J54" s="20" t="n">
        <v>0.40721087</v>
      </c>
      <c r="K54" s="18" t="s">
        <v>349</v>
      </c>
      <c r="L54" s="20" t="s">
        <v>349</v>
      </c>
      <c r="M54" s="18" t="n">
        <v>7.25709576</v>
      </c>
      <c r="N54" s="20" t="n">
        <v>1.28921551</v>
      </c>
      <c r="O54" s="18" t="n">
        <v>1.27132305</v>
      </c>
      <c r="P54" s="20" t="n">
        <v>1.3791972</v>
      </c>
      <c r="Q54" s="18" t="n">
        <v>0</v>
      </c>
      <c r="R54" s="20" t="n">
        <v>0</v>
      </c>
      <c r="S54" s="18" t="n">
        <v>36.79899932</v>
      </c>
      <c r="T54" s="20" t="n">
        <v>2.58383672</v>
      </c>
    </row>
    <row r="55" spans="1:20">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2675</v>
      </c>
      <c r="C56" s="18">
        <f>(2339.0/B56*100)</f>
        <v/>
      </c>
      <c r="D56" s="19" t="n">
        <v>336</v>
      </c>
      <c r="E56" s="18" t="n">
        <v>30.55458801</v>
      </c>
      <c r="F56" s="20" t="n">
        <v>2.78861917</v>
      </c>
      <c r="G56" s="18" t="n">
        <v>3.11291768</v>
      </c>
      <c r="H56" s="20" t="n">
        <v>0.96053425</v>
      </c>
      <c r="I56" s="18" t="n">
        <v>51.85249345</v>
      </c>
      <c r="J56" s="20" t="n">
        <v>3.3717246</v>
      </c>
      <c r="K56" s="18" t="s">
        <v>349</v>
      </c>
      <c r="L56" s="20" t="s">
        <v>349</v>
      </c>
      <c r="M56" s="18" t="n">
        <v>0</v>
      </c>
      <c r="N56" s="20" t="n">
        <v>0</v>
      </c>
      <c r="O56" s="18" t="n">
        <v>0.5822842499999999</v>
      </c>
      <c r="P56" s="20" t="n">
        <v>0.41588174</v>
      </c>
      <c r="Q56" s="18" t="n">
        <v>0</v>
      </c>
      <c r="R56" s="20" t="n">
        <v>0</v>
      </c>
      <c r="S56" s="18" t="n">
        <v>13.89771661</v>
      </c>
      <c r="T56" s="20" t="n">
        <v>2.29451286</v>
      </c>
    </row>
    <row r="57" spans="1:20">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row>
    <row r="59" spans="1:20">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row>
    <row r="60" spans="1:20">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row>
    <row r="61" spans="1:20">
      <c r="A61" s="15" t="s">
        <v>403</v>
      </c>
      <c r="B61" s="17" t="n">
        <v>3201</v>
      </c>
      <c r="C61" s="18">
        <f>(2800.0/B61*100)</f>
        <v/>
      </c>
      <c r="D61" s="19" t="n">
        <v>401</v>
      </c>
      <c r="E61" s="18" t="n">
        <v>40.18831076</v>
      </c>
      <c r="F61" s="20" t="n">
        <v>2.84839008</v>
      </c>
      <c r="G61" s="18" t="n">
        <v>2.27015322</v>
      </c>
      <c r="H61" s="20" t="n">
        <v>0.90140655</v>
      </c>
      <c r="I61" s="18" t="n">
        <v>26.42026383</v>
      </c>
      <c r="J61" s="20" t="n">
        <v>2.20985166</v>
      </c>
      <c r="K61" s="18" t="s">
        <v>349</v>
      </c>
      <c r="L61" s="20" t="s">
        <v>349</v>
      </c>
      <c r="M61" s="18" t="n">
        <v>0.723573</v>
      </c>
      <c r="N61" s="20" t="n">
        <v>0.70865059</v>
      </c>
      <c r="O61" s="18" t="n">
        <v>0</v>
      </c>
      <c r="P61" s="20" t="n">
        <v>0</v>
      </c>
      <c r="Q61" s="18" t="n">
        <v>0</v>
      </c>
      <c r="R61" s="20" t="n">
        <v>0</v>
      </c>
      <c r="S61" s="18" t="n">
        <v>30.3976992</v>
      </c>
      <c r="T61" s="20" t="n">
        <v>2.45451259</v>
      </c>
    </row>
    <row r="62" spans="1:20">
      <c r="A62" s="15" t="s">
        <v>404</v>
      </c>
      <c r="B62" s="17" t="n">
        <v>2230</v>
      </c>
      <c r="C62" s="18">
        <f>(1973.0/B62*100)</f>
        <v/>
      </c>
      <c r="D62" s="19" t="n">
        <v>257</v>
      </c>
      <c r="E62" s="18" t="n">
        <v>32.65194005</v>
      </c>
      <c r="F62" s="20" t="n">
        <v>2.72252117</v>
      </c>
      <c r="G62" s="18" t="n">
        <v>2.32466187</v>
      </c>
      <c r="H62" s="20" t="n">
        <v>0.96590204</v>
      </c>
      <c r="I62" s="18" t="n">
        <v>53.99730977</v>
      </c>
      <c r="J62" s="20" t="n">
        <v>2.64029205</v>
      </c>
      <c r="K62" s="18" t="s">
        <v>349</v>
      </c>
      <c r="L62" s="20" t="s">
        <v>349</v>
      </c>
      <c r="M62" s="18" t="n">
        <v>0</v>
      </c>
      <c r="N62" s="20" t="n">
        <v>0</v>
      </c>
      <c r="O62" s="18" t="n">
        <v>0</v>
      </c>
      <c r="P62" s="20" t="n">
        <v>0</v>
      </c>
      <c r="Q62" s="18" t="n">
        <v>0</v>
      </c>
      <c r="R62" s="20" t="n">
        <v>0</v>
      </c>
      <c r="S62" s="18" t="n">
        <v>11.02608832</v>
      </c>
      <c r="T62" s="20" t="n">
        <v>1.61857203</v>
      </c>
    </row>
    <row r="63" spans="1:20">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row>
    <row r="64" spans="1:20">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row>
    <row r="66" spans="1:20">
      <c r="A66" s="15" t="s">
        <v>408</v>
      </c>
      <c r="B66" s="17" t="n">
        <v>2771</v>
      </c>
      <c r="C66" s="18">
        <f>(2438.0/B66*100)</f>
        <v/>
      </c>
      <c r="D66" s="19" t="n">
        <v>333</v>
      </c>
      <c r="E66" s="18" t="n">
        <v>35.32074757</v>
      </c>
      <c r="F66" s="20" t="n">
        <v>2.38550928</v>
      </c>
      <c r="G66" s="18" t="n">
        <v>0.25915561</v>
      </c>
      <c r="H66" s="20" t="n">
        <v>0.25828061</v>
      </c>
      <c r="I66" s="18" t="n">
        <v>5.14855064</v>
      </c>
      <c r="J66" s="20" t="n">
        <v>1.18522578</v>
      </c>
      <c r="K66" s="18" t="s">
        <v>349</v>
      </c>
      <c r="L66" s="20" t="s">
        <v>349</v>
      </c>
      <c r="M66" s="18" t="n">
        <v>1.87912887</v>
      </c>
      <c r="N66" s="20" t="n">
        <v>0.77489556</v>
      </c>
      <c r="O66" s="18" t="n">
        <v>0.8513723600000001</v>
      </c>
      <c r="P66" s="20" t="n">
        <v>0.49608124</v>
      </c>
      <c r="Q66" s="18" t="n">
        <v>0</v>
      </c>
      <c r="R66" s="20" t="n">
        <v>0</v>
      </c>
      <c r="S66" s="18" t="n">
        <v>56.54104495</v>
      </c>
      <c r="T66" s="20" t="n">
        <v>2.61721209</v>
      </c>
    </row>
    <row r="67" spans="1:20">
      <c r="A67" s="15" t="s">
        <v>409</v>
      </c>
      <c r="B67" s="17" t="n">
        <v>3460</v>
      </c>
      <c r="C67" s="18">
        <f>(3049.0/B67*100)</f>
        <v/>
      </c>
      <c r="D67" s="19" t="n">
        <v>411</v>
      </c>
      <c r="E67" s="18" t="n">
        <v>53.07145904</v>
      </c>
      <c r="F67" s="20" t="n">
        <v>2.70805812</v>
      </c>
      <c r="G67" s="18" t="n">
        <v>0.92547574</v>
      </c>
      <c r="H67" s="20" t="n">
        <v>0.44385327</v>
      </c>
      <c r="I67" s="18" t="n">
        <v>10.03943423</v>
      </c>
      <c r="J67" s="20" t="n">
        <v>1.62227922</v>
      </c>
      <c r="K67" s="18" t="s">
        <v>349</v>
      </c>
      <c r="L67" s="20" t="s">
        <v>349</v>
      </c>
      <c r="M67" s="18" t="n">
        <v>0</v>
      </c>
      <c r="N67" s="20" t="n">
        <v>0</v>
      </c>
      <c r="O67" s="18" t="n">
        <v>0.18358985</v>
      </c>
      <c r="P67" s="20" t="n">
        <v>0.18298992</v>
      </c>
      <c r="Q67" s="18" t="n">
        <v>0</v>
      </c>
      <c r="R67" s="20" t="n">
        <v>0</v>
      </c>
      <c r="S67" s="18" t="n">
        <v>35.78004114</v>
      </c>
      <c r="T67" s="20" t="n">
        <v>2.74970853</v>
      </c>
    </row>
    <row r="68" spans="1:20">
      <c r="A68" s="15" t="s">
        <v>410</v>
      </c>
      <c r="B68" s="17" t="n">
        <v>6034</v>
      </c>
      <c r="C68" s="18">
        <f>(5037.0/B68*100)</f>
        <v/>
      </c>
      <c r="D68" s="19" t="n">
        <v>997</v>
      </c>
      <c r="E68" s="18" t="n">
        <v>57.66657573</v>
      </c>
      <c r="F68" s="20" t="n">
        <v>1.47885648</v>
      </c>
      <c r="G68" s="18" t="n">
        <v>1.97008512</v>
      </c>
      <c r="H68" s="20" t="n">
        <v>0.43247585</v>
      </c>
      <c r="I68" s="18" t="n">
        <v>19.6151214</v>
      </c>
      <c r="J68" s="20" t="n">
        <v>1.29033914</v>
      </c>
      <c r="K68" s="18" t="s">
        <v>349</v>
      </c>
      <c r="L68" s="20" t="s">
        <v>349</v>
      </c>
      <c r="M68" s="18" t="n">
        <v>1.48202417</v>
      </c>
      <c r="N68" s="20" t="n">
        <v>0.40312746</v>
      </c>
      <c r="O68" s="18" t="n">
        <v>0</v>
      </c>
      <c r="P68" s="20" t="n">
        <v>0</v>
      </c>
      <c r="Q68" s="18" t="n">
        <v>0</v>
      </c>
      <c r="R68" s="20" t="n">
        <v>0</v>
      </c>
      <c r="S68" s="18" t="n">
        <v>19.26619359</v>
      </c>
      <c r="T68" s="20" t="n">
        <v>1.28939677</v>
      </c>
    </row>
    <row r="69" spans="1:20">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row>
    <row r="70" spans="1:20">
      <c r="A70" s="15" t="s">
        <v>412</v>
      </c>
      <c r="B70" s="17" t="n">
        <v>3107</v>
      </c>
      <c r="C70" s="18">
        <f>(2752.0/B70*100)</f>
        <v/>
      </c>
      <c r="D70" s="19" t="n">
        <v>355</v>
      </c>
      <c r="E70" s="18" t="n">
        <v>35.55730293</v>
      </c>
      <c r="F70" s="20" t="n">
        <v>2.76135353</v>
      </c>
      <c r="G70" s="18" t="n">
        <v>1.43471497</v>
      </c>
      <c r="H70" s="20" t="n">
        <v>0.78512031</v>
      </c>
      <c r="I70" s="18" t="n">
        <v>36.51902379</v>
      </c>
      <c r="J70" s="20" t="n">
        <v>4.18838862</v>
      </c>
      <c r="K70" s="18" t="s">
        <v>349</v>
      </c>
      <c r="L70" s="20" t="s">
        <v>349</v>
      </c>
      <c r="M70" s="18" t="n">
        <v>0.22296078</v>
      </c>
      <c r="N70" s="20" t="n">
        <v>0.22040501</v>
      </c>
      <c r="O70" s="18" t="n">
        <v>0.33957793</v>
      </c>
      <c r="P70" s="20" t="n">
        <v>0.23794737</v>
      </c>
      <c r="Q70" s="18" t="n">
        <v>0</v>
      </c>
      <c r="R70" s="20" t="n">
        <v>0</v>
      </c>
      <c r="S70" s="18" t="n">
        <v>25.92641959</v>
      </c>
      <c r="T70" s="20" t="n">
        <v>2.92407139</v>
      </c>
    </row>
    <row r="71" spans="1:20">
      <c r="A71" s="15" t="s">
        <v>413</v>
      </c>
      <c r="B71" s="17" t="n">
        <v>2973</v>
      </c>
      <c r="C71" s="18">
        <f>(2594.0/B71*100)</f>
        <v/>
      </c>
      <c r="D71" s="19" t="n">
        <v>379</v>
      </c>
      <c r="E71" s="18" t="n">
        <v>23.59675186</v>
      </c>
      <c r="F71" s="20" t="n">
        <v>2.08989398</v>
      </c>
      <c r="G71" s="18" t="n">
        <v>4.19220259</v>
      </c>
      <c r="H71" s="20" t="n">
        <v>0.97704266</v>
      </c>
      <c r="I71" s="18" t="n">
        <v>64.03518655000001</v>
      </c>
      <c r="J71" s="20" t="n">
        <v>2.35864057</v>
      </c>
      <c r="K71" s="18" t="s">
        <v>349</v>
      </c>
      <c r="L71" s="20" t="s">
        <v>349</v>
      </c>
      <c r="M71" s="18" t="n">
        <v>0.30216956</v>
      </c>
      <c r="N71" s="20" t="n">
        <v>0.30056096</v>
      </c>
      <c r="O71" s="18" t="n">
        <v>0</v>
      </c>
      <c r="P71" s="20" t="n">
        <v>0</v>
      </c>
      <c r="Q71" s="18" t="n">
        <v>0</v>
      </c>
      <c r="R71" s="20" t="n">
        <v>0</v>
      </c>
      <c r="S71" s="18" t="n">
        <v>7.87368944</v>
      </c>
      <c r="T71" s="20" t="n">
        <v>1.32878528</v>
      </c>
    </row>
    <row r="72" spans="1:20">
      <c r="A72" s="15" t="s">
        <v>414</v>
      </c>
      <c r="B72" s="17" t="n">
        <v>3819</v>
      </c>
      <c r="C72" s="18">
        <f>(3329.0/B72*100)</f>
        <v/>
      </c>
      <c r="D72" s="19" t="n">
        <v>490</v>
      </c>
      <c r="E72" s="18" t="n">
        <v>26.16797256</v>
      </c>
      <c r="F72" s="20" t="n">
        <v>2.17584821</v>
      </c>
      <c r="G72" s="18" t="n">
        <v>5.21627531</v>
      </c>
      <c r="H72" s="20" t="n">
        <v>1.19907034</v>
      </c>
      <c r="I72" s="18" t="n">
        <v>58.18046227</v>
      </c>
      <c r="J72" s="20" t="n">
        <v>2.37768602</v>
      </c>
      <c r="K72" s="18" t="s">
        <v>349</v>
      </c>
      <c r="L72" s="20" t="s">
        <v>349</v>
      </c>
      <c r="M72" s="18" t="n">
        <v>0.22178018</v>
      </c>
      <c r="N72" s="20" t="n">
        <v>0.22147429</v>
      </c>
      <c r="O72" s="18" t="n">
        <v>0</v>
      </c>
      <c r="P72" s="20" t="n">
        <v>0</v>
      </c>
      <c r="Q72" s="18" t="n">
        <v>0</v>
      </c>
      <c r="R72" s="20" t="n">
        <v>0</v>
      </c>
      <c r="S72" s="18" t="n">
        <v>10.21350969</v>
      </c>
      <c r="T72" s="20" t="n">
        <v>1.38374988</v>
      </c>
    </row>
    <row r="73" spans="1:20">
      <c r="A73" s="15" t="s">
        <v>415</v>
      </c>
      <c r="B73" s="17" t="n">
        <v>4652</v>
      </c>
      <c r="C73" s="18">
        <f>(4091.0/B73*100)</f>
        <v/>
      </c>
      <c r="D73" s="19" t="n">
        <v>561</v>
      </c>
      <c r="E73" s="18" t="n">
        <v>77.19178238000001</v>
      </c>
      <c r="F73" s="20" t="n">
        <v>2.2481358</v>
      </c>
      <c r="G73" s="18" t="n">
        <v>0.69887391</v>
      </c>
      <c r="H73" s="20" t="n">
        <v>0.37005591</v>
      </c>
      <c r="I73" s="18" t="n">
        <v>14.87876377</v>
      </c>
      <c r="J73" s="20" t="n">
        <v>1.85746378</v>
      </c>
      <c r="K73" s="18" t="s">
        <v>349</v>
      </c>
      <c r="L73" s="20" t="s">
        <v>349</v>
      </c>
      <c r="M73" s="18" t="n">
        <v>0</v>
      </c>
      <c r="N73" s="20" t="n">
        <v>0</v>
      </c>
      <c r="O73" s="18" t="n">
        <v>0.09612979000000001</v>
      </c>
      <c r="P73" s="20" t="n">
        <v>0.09610411000000001</v>
      </c>
      <c r="Q73" s="18" t="n">
        <v>0</v>
      </c>
      <c r="R73" s="20" t="n">
        <v>0</v>
      </c>
      <c r="S73" s="18" t="n">
        <v>7.13445015</v>
      </c>
      <c r="T73" s="20" t="n">
        <v>1.28720252</v>
      </c>
    </row>
    <row r="74" spans="1:20">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row>
    <row r="75" spans="1:20">
      <c r="A75" s="15" t="s">
        <v>417</v>
      </c>
      <c r="B75" s="17" t="n">
        <v>2969</v>
      </c>
      <c r="C75" s="18">
        <f>(2618.0/B75*100)</f>
        <v/>
      </c>
      <c r="D75" s="19" t="n">
        <v>351</v>
      </c>
      <c r="E75" s="18" t="n">
        <v>47.38973009</v>
      </c>
      <c r="F75" s="20" t="n">
        <v>2.69811295</v>
      </c>
      <c r="G75" s="18" t="n">
        <v>1.09001165</v>
      </c>
      <c r="H75" s="20" t="n">
        <v>0.51329825</v>
      </c>
      <c r="I75" s="18" t="n">
        <v>11.75677683</v>
      </c>
      <c r="J75" s="20" t="n">
        <v>1.74709113</v>
      </c>
      <c r="K75" s="18" t="s">
        <v>349</v>
      </c>
      <c r="L75" s="20" t="s">
        <v>349</v>
      </c>
      <c r="M75" s="18" t="n">
        <v>2.76160097</v>
      </c>
      <c r="N75" s="20" t="n">
        <v>0.8858923399999999</v>
      </c>
      <c r="O75" s="18" t="n">
        <v>0</v>
      </c>
      <c r="P75" s="20" t="n">
        <v>0</v>
      </c>
      <c r="Q75" s="18" t="n">
        <v>0</v>
      </c>
      <c r="R75" s="20" t="n">
        <v>0</v>
      </c>
      <c r="S75" s="18" t="n">
        <v>37.00188047</v>
      </c>
      <c r="T75" s="20" t="n">
        <v>2.99170114</v>
      </c>
    </row>
    <row r="76" spans="1:20">
      <c r="A76" s="15" t="s">
        <v>418</v>
      </c>
      <c r="B76" s="17" t="n">
        <v>7115</v>
      </c>
      <c r="C76" s="18">
        <f>(6229.0/B76*100)</f>
        <v/>
      </c>
      <c r="D76" s="19" t="n">
        <v>886</v>
      </c>
      <c r="E76" s="18" t="n">
        <v>57.925564</v>
      </c>
      <c r="F76" s="20" t="n">
        <v>2.33778272</v>
      </c>
      <c r="G76" s="18" t="n">
        <v>2.40226035</v>
      </c>
      <c r="H76" s="20" t="n">
        <v>0.69151305</v>
      </c>
      <c r="I76" s="18" t="n">
        <v>28.13570052</v>
      </c>
      <c r="J76" s="20" t="n">
        <v>1.93437734</v>
      </c>
      <c r="K76" s="18" t="s">
        <v>349</v>
      </c>
      <c r="L76" s="20" t="s">
        <v>349</v>
      </c>
      <c r="M76" s="18" t="n">
        <v>0.05360672</v>
      </c>
      <c r="N76" s="20" t="n">
        <v>0.0535538</v>
      </c>
      <c r="O76" s="18" t="n">
        <v>0</v>
      </c>
      <c r="P76" s="20" t="n">
        <v>0</v>
      </c>
      <c r="Q76" s="18" t="n">
        <v>0</v>
      </c>
      <c r="R76" s="20" t="n">
        <v>0</v>
      </c>
      <c r="S76" s="18" t="n">
        <v>11.48286841</v>
      </c>
      <c r="T76" s="20" t="n">
        <v>1.3804077</v>
      </c>
    </row>
    <row r="77" spans="1:20">
      <c r="A77" s="15" t="s">
        <v>419</v>
      </c>
      <c r="B77" s="17" t="n">
        <v>3154</v>
      </c>
      <c r="C77" s="18">
        <f>(2765.0/B77*100)</f>
        <v/>
      </c>
      <c r="D77" s="19" t="n">
        <v>389</v>
      </c>
      <c r="E77" s="18" t="n">
        <v>36.39455336</v>
      </c>
      <c r="F77" s="20" t="n">
        <v>2.77655697</v>
      </c>
      <c r="G77" s="18" t="n">
        <v>1.85941878</v>
      </c>
      <c r="H77" s="20" t="n">
        <v>0.70602138</v>
      </c>
      <c r="I77" s="18" t="n">
        <v>8.824187370000001</v>
      </c>
      <c r="J77" s="20" t="n">
        <v>1.51255425</v>
      </c>
      <c r="K77" s="18" t="s">
        <v>349</v>
      </c>
      <c r="L77" s="20" t="s">
        <v>349</v>
      </c>
      <c r="M77" s="18" t="n">
        <v>1.80077267</v>
      </c>
      <c r="N77" s="20" t="n">
        <v>0.81747836</v>
      </c>
      <c r="O77" s="18" t="n">
        <v>2.06052781</v>
      </c>
      <c r="P77" s="20" t="n">
        <v>0.67273204</v>
      </c>
      <c r="Q77" s="18" t="n">
        <v>0</v>
      </c>
      <c r="R77" s="20" t="n">
        <v>0</v>
      </c>
      <c r="S77" s="18" t="n">
        <v>49.06054001</v>
      </c>
      <c r="T77" s="20" t="n">
        <v>2.76869844</v>
      </c>
    </row>
    <row r="78" spans="1:20">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row>
    <row customHeight="1" ht="25" r="79" spans="1:20">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row>
    <row r="80" spans="1:20">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4698</v>
      </c>
      <c r="C81" s="18">
        <f>(4101.0/B81*100)</f>
        <v/>
      </c>
      <c r="D81" s="19" t="n">
        <v>597</v>
      </c>
      <c r="E81" s="18" t="n">
        <v>55.32356896</v>
      </c>
      <c r="F81" s="20" t="n">
        <v>2.66606798</v>
      </c>
      <c r="G81" s="18" t="n">
        <v>2.00874955</v>
      </c>
      <c r="H81" s="20" t="n">
        <v>0.66947028</v>
      </c>
      <c r="I81" s="18" t="n">
        <v>38.13072133</v>
      </c>
      <c r="J81" s="20" t="n">
        <v>2.48593186</v>
      </c>
      <c r="K81" s="18" t="s">
        <v>349</v>
      </c>
      <c r="L81" s="20" t="s">
        <v>349</v>
      </c>
      <c r="M81" s="18" t="n">
        <v>0</v>
      </c>
      <c r="N81" s="20" t="n">
        <v>0</v>
      </c>
      <c r="O81" s="18" t="n">
        <v>0</v>
      </c>
      <c r="P81" s="20" t="n">
        <v>0</v>
      </c>
      <c r="Q81" s="18" t="n">
        <v>0</v>
      </c>
      <c r="R81" s="20" t="n">
        <v>0</v>
      </c>
      <c r="S81" s="18" t="n">
        <v>4.53696016</v>
      </c>
      <c r="T81" s="20" t="n">
        <v>1.01822247</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(6282.0/B7*100)</f>
        <v/>
      </c>
      <c r="D7" s="19" t="n">
        <v>881</v>
      </c>
      <c r="E7" s="18" t="n">
        <v>91.1667901</v>
      </c>
      <c r="F7" s="20" t="n">
        <v>1.20850391</v>
      </c>
      <c r="G7" s="18" t="n">
        <v>5.13690031</v>
      </c>
      <c r="H7" s="20" t="n">
        <v>0.94150869</v>
      </c>
      <c r="I7" s="18" t="s">
        <v>349</v>
      </c>
      <c r="J7" s="20" t="s">
        <v>349</v>
      </c>
      <c r="K7" s="18" t="n">
        <v>0.17696891</v>
      </c>
      <c r="L7" s="20" t="n">
        <v>0.10322418</v>
      </c>
      <c r="M7" s="18" t="n">
        <v>0</v>
      </c>
      <c r="N7" s="20" t="n">
        <v>0</v>
      </c>
      <c r="O7" s="18" t="n">
        <v>0</v>
      </c>
      <c r="P7" s="20" t="n">
        <v>0</v>
      </c>
      <c r="Q7" s="18" t="n">
        <v>3.51934067</v>
      </c>
      <c r="R7" s="20" t="n">
        <v>0.75341044</v>
      </c>
    </row>
    <row r="8" spans="1:18">
      <c r="A8" s="15" t="s">
        <v>350</v>
      </c>
      <c r="B8" s="17" t="n">
        <v>3443</v>
      </c>
      <c r="C8" s="18">
        <f>(3011.0/B8*100)</f>
        <v/>
      </c>
      <c r="D8" s="19" t="n">
        <v>432</v>
      </c>
      <c r="E8" s="18" t="n">
        <v>85.18474670000001</v>
      </c>
      <c r="F8" s="20" t="n">
        <v>1.71736511</v>
      </c>
      <c r="G8" s="18" t="n">
        <v>4.90410131</v>
      </c>
      <c r="H8" s="20" t="n">
        <v>1.1088815</v>
      </c>
      <c r="I8" s="18" t="s">
        <v>349</v>
      </c>
      <c r="J8" s="20" t="s">
        <v>349</v>
      </c>
      <c r="K8" s="18" t="n">
        <v>0.08418444</v>
      </c>
      <c r="L8" s="20" t="n">
        <v>0.08408773999999999</v>
      </c>
      <c r="M8" s="18" t="n">
        <v>0</v>
      </c>
      <c r="N8" s="20" t="n">
        <v>0</v>
      </c>
      <c r="O8" s="18" t="n">
        <v>0</v>
      </c>
      <c r="P8" s="20" t="n">
        <v>0</v>
      </c>
      <c r="Q8" s="18" t="n">
        <v>9.826967550000001</v>
      </c>
      <c r="R8" s="20" t="n">
        <v>1.49331621</v>
      </c>
    </row>
    <row r="9" spans="1:18">
      <c r="A9" s="15" t="s">
        <v>351</v>
      </c>
      <c r="B9" s="17" t="n">
        <v>4752</v>
      </c>
      <c r="C9" s="18">
        <f>(4160.0/B9*100)</f>
        <v/>
      </c>
      <c r="D9" s="19" t="n">
        <v>592</v>
      </c>
      <c r="E9" s="18" t="n">
        <v>88.37595401</v>
      </c>
      <c r="F9" s="20" t="n">
        <v>1.30520102</v>
      </c>
      <c r="G9" s="18" t="n">
        <v>4.58756384</v>
      </c>
      <c r="H9" s="20" t="n">
        <v>0.70254862</v>
      </c>
      <c r="I9" s="18" t="s">
        <v>349</v>
      </c>
      <c r="J9" s="20" t="s">
        <v>349</v>
      </c>
      <c r="K9" s="18" t="n">
        <v>1.3255278</v>
      </c>
      <c r="L9" s="20" t="n">
        <v>0.53442635</v>
      </c>
      <c r="M9" s="18" t="n">
        <v>0</v>
      </c>
      <c r="N9" s="20" t="n">
        <v>0</v>
      </c>
      <c r="O9" s="18" t="n">
        <v>0</v>
      </c>
      <c r="P9" s="20" t="n">
        <v>0</v>
      </c>
      <c r="Q9" s="18" t="n">
        <v>5.71095436</v>
      </c>
      <c r="R9" s="20" t="n">
        <v>1.02304289</v>
      </c>
    </row>
    <row r="10" spans="1:18">
      <c r="A10" s="15" t="s">
        <v>352</v>
      </c>
      <c r="B10" s="17" t="n">
        <v>10022</v>
      </c>
      <c r="C10" s="18">
        <f>(8754.0/B10*100)</f>
        <v/>
      </c>
      <c r="D10" s="19" t="n">
        <v>1268</v>
      </c>
      <c r="E10" s="18" t="n">
        <v>91.62236467</v>
      </c>
      <c r="F10" s="20" t="n">
        <v>0.97454504</v>
      </c>
      <c r="G10" s="18" t="n">
        <v>5.87378101</v>
      </c>
      <c r="H10" s="20" t="n">
        <v>0.87963188</v>
      </c>
      <c r="I10" s="18" t="s">
        <v>349</v>
      </c>
      <c r="J10" s="20" t="s">
        <v>349</v>
      </c>
      <c r="K10" s="18" t="n">
        <v>0.11269888</v>
      </c>
      <c r="L10" s="20" t="n">
        <v>0.09065682</v>
      </c>
      <c r="M10" s="18" t="n">
        <v>0</v>
      </c>
      <c r="N10" s="20" t="n">
        <v>0</v>
      </c>
      <c r="O10" s="18" t="n">
        <v>0</v>
      </c>
      <c r="P10" s="20" t="n">
        <v>0</v>
      </c>
      <c r="Q10" s="18" t="n">
        <v>2.39115543</v>
      </c>
      <c r="R10" s="20" t="n">
        <v>0.49411714</v>
      </c>
    </row>
    <row r="11" spans="1:18">
      <c r="A11" s="15" t="s">
        <v>353</v>
      </c>
      <c r="B11" s="17" t="n">
        <v>3500</v>
      </c>
      <c r="C11" s="18">
        <f>(3080.0/B11*100)</f>
        <v/>
      </c>
      <c r="D11" s="19" t="n">
        <v>420</v>
      </c>
      <c r="E11" s="18" t="n">
        <v>88.71235256</v>
      </c>
      <c r="F11" s="20" t="n">
        <v>1.31400885</v>
      </c>
      <c r="G11" s="18" t="n">
        <v>0.79705328</v>
      </c>
      <c r="H11" s="20" t="n">
        <v>0.32444095</v>
      </c>
      <c r="I11" s="18" t="s">
        <v>349</v>
      </c>
      <c r="J11" s="20" t="s">
        <v>349</v>
      </c>
      <c r="K11" s="18" t="n">
        <v>0.57244967</v>
      </c>
      <c r="L11" s="20" t="n">
        <v>0.40819016</v>
      </c>
      <c r="M11" s="18" t="n">
        <v>0</v>
      </c>
      <c r="N11" s="20" t="n">
        <v>0</v>
      </c>
      <c r="O11" s="18" t="n">
        <v>0</v>
      </c>
      <c r="P11" s="20" t="n">
        <v>0</v>
      </c>
      <c r="Q11" s="18" t="n">
        <v>9.9181445</v>
      </c>
      <c r="R11" s="20" t="n">
        <v>1.38921387</v>
      </c>
    </row>
    <row r="12" spans="1:18">
      <c r="A12" s="15" t="s">
        <v>354</v>
      </c>
      <c r="B12" s="17" t="n">
        <v>3422</v>
      </c>
      <c r="C12" s="18">
        <f>(3031.0/B12*100)</f>
        <v/>
      </c>
      <c r="D12" s="19" t="n">
        <v>391</v>
      </c>
      <c r="E12" s="18" t="n">
        <v>85.24608228</v>
      </c>
      <c r="F12" s="20" t="n">
        <v>1.91784815</v>
      </c>
      <c r="G12" s="18" t="n">
        <v>6.35672676</v>
      </c>
      <c r="H12" s="20" t="n">
        <v>1.38921381</v>
      </c>
      <c r="I12" s="18" t="s">
        <v>349</v>
      </c>
      <c r="J12" s="20" t="s">
        <v>349</v>
      </c>
      <c r="K12" s="18" t="n">
        <v>0</v>
      </c>
      <c r="L12" s="20" t="n">
        <v>0</v>
      </c>
      <c r="M12" s="18" t="n">
        <v>0</v>
      </c>
      <c r="N12" s="20" t="n">
        <v>0</v>
      </c>
      <c r="O12" s="18" t="n">
        <v>0</v>
      </c>
      <c r="P12" s="20" t="n">
        <v>0</v>
      </c>
      <c r="Q12" s="18" t="n">
        <v>8.39719096</v>
      </c>
      <c r="R12" s="20" t="n">
        <v>1.39622106</v>
      </c>
    </row>
    <row r="13" spans="1:18">
      <c r="A13" s="15" t="s">
        <v>355</v>
      </c>
      <c r="B13" s="17" t="n">
        <v>3602</v>
      </c>
      <c r="C13" s="18">
        <f>(3168.0/B13*100)</f>
        <v/>
      </c>
      <c r="D13" s="19" t="n">
        <v>434</v>
      </c>
      <c r="E13" s="18" t="n">
        <v>84.6594715</v>
      </c>
      <c r="F13" s="20" t="n">
        <v>2.14735187</v>
      </c>
      <c r="G13" s="18" t="n">
        <v>7.66816538</v>
      </c>
      <c r="H13" s="20" t="n">
        <v>1.55904036</v>
      </c>
      <c r="I13" s="18" t="s">
        <v>349</v>
      </c>
      <c r="J13" s="20" t="s">
        <v>349</v>
      </c>
      <c r="K13" s="18" t="n">
        <v>1.09216426</v>
      </c>
      <c r="L13" s="20" t="n">
        <v>0.58099687</v>
      </c>
      <c r="M13" s="18" t="n">
        <v>0</v>
      </c>
      <c r="N13" s="20" t="n">
        <v>0</v>
      </c>
      <c r="O13" s="18" t="n">
        <v>0</v>
      </c>
      <c r="P13" s="20" t="n">
        <v>0</v>
      </c>
      <c r="Q13" s="18" t="n">
        <v>6.58019885</v>
      </c>
      <c r="R13" s="20" t="n">
        <v>1.55954411</v>
      </c>
    </row>
    <row r="14" spans="1:18">
      <c r="A14" s="15" t="s">
        <v>356</v>
      </c>
      <c r="B14" s="17" t="n">
        <v>2788</v>
      </c>
      <c r="C14" s="18">
        <f>(2457.0/B14*100)</f>
        <v/>
      </c>
      <c r="D14" s="19" t="n">
        <v>331</v>
      </c>
      <c r="E14" s="18" t="n">
        <v>90.08814974000001</v>
      </c>
      <c r="F14" s="20" t="n">
        <v>1.83199715</v>
      </c>
      <c r="G14" s="18" t="n">
        <v>5.52502469</v>
      </c>
      <c r="H14" s="20" t="n">
        <v>1.24459129</v>
      </c>
      <c r="I14" s="18" t="s">
        <v>349</v>
      </c>
      <c r="J14" s="20" t="s">
        <v>349</v>
      </c>
      <c r="K14" s="18" t="n">
        <v>0</v>
      </c>
      <c r="L14" s="20" t="n">
        <v>0</v>
      </c>
      <c r="M14" s="18" t="n">
        <v>0</v>
      </c>
      <c r="N14" s="20" t="n">
        <v>0</v>
      </c>
      <c r="O14" s="18" t="n">
        <v>0</v>
      </c>
      <c r="P14" s="20" t="n">
        <v>0</v>
      </c>
      <c r="Q14" s="18" t="n">
        <v>4.38682557</v>
      </c>
      <c r="R14" s="20" t="n">
        <v>1.33965662</v>
      </c>
    </row>
    <row r="15" spans="1:18">
      <c r="A15" s="15" t="s">
        <v>357</v>
      </c>
      <c r="B15" s="17" t="n">
        <v>2863</v>
      </c>
      <c r="C15" s="18">
        <f>(2517.0/B15*100)</f>
        <v/>
      </c>
      <c r="D15" s="19" t="n">
        <v>346</v>
      </c>
      <c r="E15" s="18" t="n">
        <v>88.58714922999999</v>
      </c>
      <c r="F15" s="20" t="n">
        <v>1.45406878</v>
      </c>
      <c r="G15" s="18" t="n">
        <v>6.95739427</v>
      </c>
      <c r="H15" s="20" t="n">
        <v>1.2118086</v>
      </c>
      <c r="I15" s="18" t="s">
        <v>349</v>
      </c>
      <c r="J15" s="20" t="s">
        <v>349</v>
      </c>
      <c r="K15" s="18" t="n">
        <v>0.64039843</v>
      </c>
      <c r="L15" s="20" t="n">
        <v>0.46198629</v>
      </c>
      <c r="M15" s="18" t="n">
        <v>0</v>
      </c>
      <c r="N15" s="20" t="n">
        <v>0</v>
      </c>
      <c r="O15" s="18" t="n">
        <v>0</v>
      </c>
      <c r="P15" s="20" t="n">
        <v>0</v>
      </c>
      <c r="Q15" s="18" t="n">
        <v>3.81505807</v>
      </c>
      <c r="R15" s="20" t="n">
        <v>1.12376199</v>
      </c>
    </row>
    <row r="16" spans="1:18">
      <c r="A16" s="15" t="s">
        <v>358</v>
      </c>
      <c r="B16" s="17" t="n">
        <v>3111</v>
      </c>
      <c r="C16" s="18">
        <f>(2740.0/B16*100)</f>
        <v/>
      </c>
      <c r="D16" s="19" t="n">
        <v>371</v>
      </c>
      <c r="E16" s="18" t="n">
        <v>90.70230377999999</v>
      </c>
      <c r="F16" s="20" t="n">
        <v>1.71372374</v>
      </c>
      <c r="G16" s="18" t="n">
        <v>4.10668453</v>
      </c>
      <c r="H16" s="20" t="n">
        <v>1.07232494</v>
      </c>
      <c r="I16" s="18" t="s">
        <v>349</v>
      </c>
      <c r="J16" s="20" t="s">
        <v>349</v>
      </c>
      <c r="K16" s="18" t="n">
        <v>0.30694769</v>
      </c>
      <c r="L16" s="20" t="n">
        <v>0.31482798</v>
      </c>
      <c r="M16" s="18" t="n">
        <v>0</v>
      </c>
      <c r="N16" s="20" t="n">
        <v>0</v>
      </c>
      <c r="O16" s="18" t="n">
        <v>0</v>
      </c>
      <c r="P16" s="20" t="n">
        <v>0</v>
      </c>
      <c r="Q16" s="18" t="n">
        <v>4.884064</v>
      </c>
      <c r="R16" s="20" t="n">
        <v>1.33836861</v>
      </c>
    </row>
    <row r="17" spans="1:18">
      <c r="A17" s="15" t="s">
        <v>359</v>
      </c>
      <c r="B17" s="17" t="n">
        <v>3197</v>
      </c>
      <c r="C17" s="18">
        <f>(2816.0/B17*100)</f>
        <v/>
      </c>
      <c r="D17" s="19" t="n">
        <v>381</v>
      </c>
      <c r="E17" s="18" t="n">
        <v>90.28388028000001</v>
      </c>
      <c r="F17" s="20" t="n">
        <v>1.58264671</v>
      </c>
      <c r="G17" s="18" t="n">
        <v>3.4921816</v>
      </c>
      <c r="H17" s="20" t="n">
        <v>0.91966795</v>
      </c>
      <c r="I17" s="18" t="s">
        <v>349</v>
      </c>
      <c r="J17" s="20" t="s">
        <v>349</v>
      </c>
      <c r="K17" s="18" t="n">
        <v>0</v>
      </c>
      <c r="L17" s="20" t="n">
        <v>0</v>
      </c>
      <c r="M17" s="18" t="n">
        <v>0</v>
      </c>
      <c r="N17" s="20" t="n">
        <v>0</v>
      </c>
      <c r="O17" s="18" t="n">
        <v>0</v>
      </c>
      <c r="P17" s="20" t="n">
        <v>0</v>
      </c>
      <c r="Q17" s="18" t="n">
        <v>6.22393811</v>
      </c>
      <c r="R17" s="20" t="n">
        <v>1.32970244</v>
      </c>
    </row>
    <row r="18" spans="1:18">
      <c r="A18" s="15" t="s">
        <v>360</v>
      </c>
      <c r="B18" s="17" t="n">
        <v>2706</v>
      </c>
      <c r="C18" s="18">
        <f>(2383.0/B18*100)</f>
        <v/>
      </c>
      <c r="D18" s="19" t="n">
        <v>323</v>
      </c>
      <c r="E18" s="18" t="n">
        <v>91.1660284</v>
      </c>
      <c r="F18" s="20" t="n">
        <v>1.48851889</v>
      </c>
      <c r="G18" s="18" t="n">
        <v>1.61247415</v>
      </c>
      <c r="H18" s="20" t="n">
        <v>0.74767712</v>
      </c>
      <c r="I18" s="18" t="s">
        <v>349</v>
      </c>
      <c r="J18" s="20" t="s">
        <v>349</v>
      </c>
      <c r="K18" s="18" t="n">
        <v>0.35218488</v>
      </c>
      <c r="L18" s="20" t="n">
        <v>0.28661725</v>
      </c>
      <c r="M18" s="18" t="n">
        <v>0</v>
      </c>
      <c r="N18" s="20" t="n">
        <v>0</v>
      </c>
      <c r="O18" s="18" t="n">
        <v>0</v>
      </c>
      <c r="P18" s="20" t="n">
        <v>0</v>
      </c>
      <c r="Q18" s="18" t="n">
        <v>6.86931257</v>
      </c>
      <c r="R18" s="20" t="n">
        <v>1.3191781</v>
      </c>
    </row>
    <row r="19" spans="1:18">
      <c r="A19" s="15" t="s">
        <v>361</v>
      </c>
      <c r="B19" s="17" t="n">
        <v>2850</v>
      </c>
      <c r="C19" s="18">
        <f>(2525.0/B19*100)</f>
        <v/>
      </c>
      <c r="D19" s="19" t="n">
        <v>325</v>
      </c>
      <c r="E19" s="18" t="n">
        <v>95.17390631000001</v>
      </c>
      <c r="F19" s="20" t="n">
        <v>1.02560295</v>
      </c>
      <c r="G19" s="18" t="n">
        <v>3.14517521</v>
      </c>
      <c r="H19" s="20" t="n">
        <v>0.8209075300000001</v>
      </c>
      <c r="I19" s="18" t="s">
        <v>349</v>
      </c>
      <c r="J19" s="20" t="s">
        <v>349</v>
      </c>
      <c r="K19" s="18" t="n">
        <v>0</v>
      </c>
      <c r="L19" s="20" t="n">
        <v>0</v>
      </c>
      <c r="M19" s="18" t="n">
        <v>0</v>
      </c>
      <c r="N19" s="20" t="n">
        <v>0</v>
      </c>
      <c r="O19" s="18" t="n">
        <v>0</v>
      </c>
      <c r="P19" s="20" t="n">
        <v>0</v>
      </c>
      <c r="Q19" s="18" t="n">
        <v>1.68091847</v>
      </c>
      <c r="R19" s="20" t="n">
        <v>0.7204036700000001</v>
      </c>
    </row>
    <row r="20" spans="1:18">
      <c r="A20" s="15" t="s">
        <v>362</v>
      </c>
      <c r="B20" s="17" t="n">
        <v>1741</v>
      </c>
      <c r="C20" s="18">
        <f>(1530.0/B20*100)</f>
        <v/>
      </c>
      <c r="D20" s="19" t="n">
        <v>211</v>
      </c>
      <c r="E20" s="18" t="n">
        <v>88.48389029000001</v>
      </c>
      <c r="F20" s="20" t="n">
        <v>2.13110314</v>
      </c>
      <c r="G20" s="18" t="n">
        <v>7.10305982</v>
      </c>
      <c r="H20" s="20" t="n">
        <v>1.85221015</v>
      </c>
      <c r="I20" s="18" t="s">
        <v>349</v>
      </c>
      <c r="J20" s="20" t="s">
        <v>349</v>
      </c>
      <c r="K20" s="18" t="n">
        <v>0</v>
      </c>
      <c r="L20" s="20" t="n">
        <v>0</v>
      </c>
      <c r="M20" s="18" t="n">
        <v>0</v>
      </c>
      <c r="N20" s="20" t="n">
        <v>0</v>
      </c>
      <c r="O20" s="18" t="n">
        <v>0</v>
      </c>
      <c r="P20" s="20" t="n">
        <v>0</v>
      </c>
      <c r="Q20" s="18" t="n">
        <v>4.41304989</v>
      </c>
      <c r="R20" s="20" t="n">
        <v>1.38141214</v>
      </c>
    </row>
    <row r="21" spans="1:18">
      <c r="A21" s="15" t="s">
        <v>363</v>
      </c>
      <c r="B21" s="17" t="n">
        <v>2833</v>
      </c>
      <c r="C21" s="18">
        <f>(2377.0/B21*100)</f>
        <v/>
      </c>
      <c r="D21" s="19" t="n">
        <v>456</v>
      </c>
      <c r="E21" s="18" t="n">
        <v>96.78621837</v>
      </c>
      <c r="F21" s="20" t="n">
        <v>0.76957463</v>
      </c>
      <c r="G21" s="18" t="n">
        <v>1.64526232</v>
      </c>
      <c r="H21" s="20" t="n">
        <v>0.52292395</v>
      </c>
      <c r="I21" s="18" t="s">
        <v>349</v>
      </c>
      <c r="J21" s="20" t="s">
        <v>349</v>
      </c>
      <c r="K21" s="18" t="n">
        <v>0</v>
      </c>
      <c r="L21" s="20" t="n">
        <v>0</v>
      </c>
      <c r="M21" s="18" t="n">
        <v>0</v>
      </c>
      <c r="N21" s="20" t="n">
        <v>0</v>
      </c>
      <c r="O21" s="18" t="n">
        <v>0</v>
      </c>
      <c r="P21" s="20" t="n">
        <v>0</v>
      </c>
      <c r="Q21" s="18" t="n">
        <v>1.56851931</v>
      </c>
      <c r="R21" s="20" t="n">
        <v>0.57298393</v>
      </c>
    </row>
    <row r="22" spans="1:18">
      <c r="A22" s="15" t="s">
        <v>364</v>
      </c>
      <c r="B22" s="17" t="n">
        <v>3667</v>
      </c>
      <c r="C22" s="18">
        <f>(3279.0/B22*100)</f>
        <v/>
      </c>
      <c r="D22" s="19" t="n">
        <v>388</v>
      </c>
      <c r="E22" s="18" t="n">
        <v>86.77237353</v>
      </c>
      <c r="F22" s="20" t="n">
        <v>1.97270244</v>
      </c>
      <c r="G22" s="18" t="n">
        <v>2.75153899</v>
      </c>
      <c r="H22" s="20" t="n">
        <v>0.91301454</v>
      </c>
      <c r="I22" s="18" t="s">
        <v>349</v>
      </c>
      <c r="J22" s="20" t="s">
        <v>349</v>
      </c>
      <c r="K22" s="18" t="n">
        <v>1.30427463</v>
      </c>
      <c r="L22" s="20" t="n">
        <v>0.58577471</v>
      </c>
      <c r="M22" s="18" t="n">
        <v>0</v>
      </c>
      <c r="N22" s="20" t="n">
        <v>0</v>
      </c>
      <c r="O22" s="18" t="n">
        <v>0</v>
      </c>
      <c r="P22" s="20" t="n">
        <v>0</v>
      </c>
      <c r="Q22" s="18" t="n">
        <v>9.171812859999999</v>
      </c>
      <c r="R22" s="20" t="n">
        <v>1.8676159</v>
      </c>
    </row>
    <row r="23" spans="1:18">
      <c r="A23" s="15" t="s">
        <v>365</v>
      </c>
      <c r="B23" s="17" t="n">
        <v>5792</v>
      </c>
      <c r="C23" s="18">
        <f>(5053.0/B23*100)</f>
        <v/>
      </c>
      <c r="D23" s="19" t="n">
        <v>739</v>
      </c>
      <c r="E23" s="18" t="n">
        <v>85.20933746999999</v>
      </c>
      <c r="F23" s="20" t="n">
        <v>1.97443025</v>
      </c>
      <c r="G23" s="18" t="n">
        <v>3.33746486</v>
      </c>
      <c r="H23" s="20" t="n">
        <v>0.85668373</v>
      </c>
      <c r="I23" s="18" t="s">
        <v>349</v>
      </c>
      <c r="J23" s="20" t="s">
        <v>349</v>
      </c>
      <c r="K23" s="18" t="n">
        <v>1.15256139</v>
      </c>
      <c r="L23" s="20" t="n">
        <v>0.63241661</v>
      </c>
      <c r="M23" s="18" t="n">
        <v>0</v>
      </c>
      <c r="N23" s="20" t="n">
        <v>0</v>
      </c>
      <c r="O23" s="18" t="n">
        <v>0</v>
      </c>
      <c r="P23" s="20" t="n">
        <v>0</v>
      </c>
      <c r="Q23" s="18" t="n">
        <v>10.30063628</v>
      </c>
      <c r="R23" s="20" t="n">
        <v>1.6523873</v>
      </c>
    </row>
    <row r="24" spans="1:18">
      <c r="A24" s="15" t="s">
        <v>366</v>
      </c>
      <c r="B24" s="17" t="n">
        <v>3309</v>
      </c>
      <c r="C24" s="18">
        <f>(2904.0/B24*100)</f>
        <v/>
      </c>
      <c r="D24" s="19" t="n">
        <v>405</v>
      </c>
      <c r="E24" s="18" t="n">
        <v>76.92390288999999</v>
      </c>
      <c r="F24" s="20" t="n">
        <v>2.50823811</v>
      </c>
      <c r="G24" s="18" t="n">
        <v>16.29267332</v>
      </c>
      <c r="H24" s="20" t="n">
        <v>2.00441523</v>
      </c>
      <c r="I24" s="18" t="s">
        <v>349</v>
      </c>
      <c r="J24" s="20" t="s">
        <v>349</v>
      </c>
      <c r="K24" s="18" t="n">
        <v>0</v>
      </c>
      <c r="L24" s="20" t="n">
        <v>0</v>
      </c>
      <c r="M24" s="18" t="n">
        <v>0</v>
      </c>
      <c r="N24" s="20" t="n">
        <v>0</v>
      </c>
      <c r="O24" s="18" t="n">
        <v>0</v>
      </c>
      <c r="P24" s="20" t="n">
        <v>0</v>
      </c>
      <c r="Q24" s="18" t="n">
        <v>6.78342379</v>
      </c>
      <c r="R24" s="20" t="n">
        <v>1.39699172</v>
      </c>
    </row>
    <row r="25" spans="1:18">
      <c r="A25" s="15" t="s">
        <v>367</v>
      </c>
      <c r="B25" s="17" t="n">
        <v>2669</v>
      </c>
      <c r="C25" s="18">
        <f>(2343.0/B25*100)</f>
        <v/>
      </c>
      <c r="D25" s="19" t="n">
        <v>326</v>
      </c>
      <c r="E25" s="18" t="n">
        <v>85.54723844</v>
      </c>
      <c r="F25" s="20" t="n">
        <v>1.88817353</v>
      </c>
      <c r="G25" s="18" t="n">
        <v>9.96931088</v>
      </c>
      <c r="H25" s="20" t="n">
        <v>1.35945397</v>
      </c>
      <c r="I25" s="18" t="s">
        <v>349</v>
      </c>
      <c r="J25" s="20" t="s">
        <v>349</v>
      </c>
      <c r="K25" s="18" t="n">
        <v>0.58672406</v>
      </c>
      <c r="L25" s="20" t="n">
        <v>0.49847186</v>
      </c>
      <c r="M25" s="18" t="n">
        <v>0</v>
      </c>
      <c r="N25" s="20" t="n">
        <v>0</v>
      </c>
      <c r="O25" s="18" t="n">
        <v>0</v>
      </c>
      <c r="P25" s="20" t="n">
        <v>0</v>
      </c>
      <c r="Q25" s="18" t="n">
        <v>3.89672663</v>
      </c>
      <c r="R25" s="20" t="n">
        <v>1.09260024</v>
      </c>
    </row>
    <row r="26" spans="1:18">
      <c r="A26" s="15" t="s">
        <v>368</v>
      </c>
      <c r="B26" s="17" t="n">
        <v>2419</v>
      </c>
      <c r="C26" s="18">
        <f>(2130.0/B26*100)</f>
        <v/>
      </c>
      <c r="D26" s="19" t="n">
        <v>289</v>
      </c>
      <c r="E26" s="18" t="n">
        <v>92.01590732</v>
      </c>
      <c r="F26" s="20" t="n">
        <v>1.66923827</v>
      </c>
      <c r="G26" s="18" t="n">
        <v>4.07567368</v>
      </c>
      <c r="H26" s="20" t="n">
        <v>1.18416899</v>
      </c>
      <c r="I26" s="18" t="s">
        <v>349</v>
      </c>
      <c r="J26" s="20" t="s">
        <v>349</v>
      </c>
      <c r="K26" s="18" t="n">
        <v>0.25971371</v>
      </c>
      <c r="L26" s="20" t="n">
        <v>0.26308117</v>
      </c>
      <c r="M26" s="18" t="n">
        <v>0</v>
      </c>
      <c r="N26" s="20" t="n">
        <v>0</v>
      </c>
      <c r="O26" s="18" t="n">
        <v>0</v>
      </c>
      <c r="P26" s="20" t="n">
        <v>0</v>
      </c>
      <c r="Q26" s="18" t="n">
        <v>3.6487053</v>
      </c>
      <c r="R26" s="20" t="n">
        <v>1.23361992</v>
      </c>
    </row>
    <row r="27" spans="1:18">
      <c r="A27" s="15" t="s">
        <v>369</v>
      </c>
      <c r="B27" s="17" t="n">
        <v>2683</v>
      </c>
      <c r="C27" s="18">
        <f>(2345.0/B27*100)</f>
        <v/>
      </c>
      <c r="D27" s="19" t="n">
        <v>338</v>
      </c>
      <c r="E27" s="18" t="n">
        <v>91.09561947</v>
      </c>
      <c r="F27" s="20" t="n">
        <v>1.67997784</v>
      </c>
      <c r="G27" s="18" t="n">
        <v>4.47107015</v>
      </c>
      <c r="H27" s="20" t="n">
        <v>1.17641129</v>
      </c>
      <c r="I27" s="18" t="s">
        <v>349</v>
      </c>
      <c r="J27" s="20" t="s">
        <v>349</v>
      </c>
      <c r="K27" s="18" t="n">
        <v>0</v>
      </c>
      <c r="L27" s="20" t="n">
        <v>0</v>
      </c>
      <c r="M27" s="18" t="n">
        <v>0</v>
      </c>
      <c r="N27" s="20" t="n">
        <v>0</v>
      </c>
      <c r="O27" s="18" t="n">
        <v>0</v>
      </c>
      <c r="P27" s="20" t="n">
        <v>0</v>
      </c>
      <c r="Q27" s="18" t="n">
        <v>4.43331038</v>
      </c>
      <c r="R27" s="20" t="n">
        <v>1.16246769</v>
      </c>
    </row>
    <row r="28" spans="1:18">
      <c r="A28" s="15" t="s">
        <v>370</v>
      </c>
      <c r="B28" s="17" t="n">
        <v>3803</v>
      </c>
      <c r="C28" s="18">
        <f>(3358.0/B28*100)</f>
        <v/>
      </c>
      <c r="D28" s="19" t="n">
        <v>445</v>
      </c>
      <c r="E28" s="18" t="n">
        <v>95.6609023</v>
      </c>
      <c r="F28" s="20" t="n">
        <v>1.07411904</v>
      </c>
      <c r="G28" s="18" t="n">
        <v>1.2130161</v>
      </c>
      <c r="H28" s="20" t="n">
        <v>0.68026151</v>
      </c>
      <c r="I28" s="18" t="s">
        <v>349</v>
      </c>
      <c r="J28" s="20" t="s">
        <v>349</v>
      </c>
      <c r="K28" s="18" t="n">
        <v>0.65618879</v>
      </c>
      <c r="L28" s="20" t="n">
        <v>0.39037042</v>
      </c>
      <c r="M28" s="18" t="n">
        <v>0</v>
      </c>
      <c r="N28" s="20" t="n">
        <v>0</v>
      </c>
      <c r="O28" s="18" t="n">
        <v>0</v>
      </c>
      <c r="P28" s="20" t="n">
        <v>0</v>
      </c>
      <c r="Q28" s="18" t="n">
        <v>2.46989281</v>
      </c>
      <c r="R28" s="20" t="n">
        <v>0.75497068</v>
      </c>
    </row>
    <row r="29" spans="1:18">
      <c r="A29" s="15" t="s">
        <v>371</v>
      </c>
      <c r="B29" s="17" t="n">
        <v>2700</v>
      </c>
      <c r="C29" s="18">
        <f>(2368.0/B29*100)</f>
        <v/>
      </c>
      <c r="D29" s="19" t="n">
        <v>332</v>
      </c>
      <c r="E29" s="18" t="n">
        <v>88.17248574</v>
      </c>
      <c r="F29" s="20" t="n">
        <v>2.09201646</v>
      </c>
      <c r="G29" s="18" t="n">
        <v>8.147566899999999</v>
      </c>
      <c r="H29" s="20" t="n">
        <v>1.59749887</v>
      </c>
      <c r="I29" s="18" t="s">
        <v>349</v>
      </c>
      <c r="J29" s="20" t="s">
        <v>349</v>
      </c>
      <c r="K29" s="18" t="n">
        <v>0</v>
      </c>
      <c r="L29" s="20" t="n">
        <v>0</v>
      </c>
      <c r="M29" s="18" t="n">
        <v>0</v>
      </c>
      <c r="N29" s="20" t="n">
        <v>0</v>
      </c>
      <c r="O29" s="18" t="n">
        <v>0</v>
      </c>
      <c r="P29" s="20" t="n">
        <v>0</v>
      </c>
      <c r="Q29" s="18" t="n">
        <v>3.67994736</v>
      </c>
      <c r="R29" s="20" t="n">
        <v>1.20481451</v>
      </c>
    </row>
    <row r="30" spans="1:18">
      <c r="A30" s="15" t="s">
        <v>372</v>
      </c>
      <c r="B30" s="17" t="n">
        <v>2257</v>
      </c>
      <c r="C30" s="18">
        <f>(1956.0/B30*100)</f>
        <v/>
      </c>
      <c r="D30" s="19" t="n">
        <v>301</v>
      </c>
      <c r="E30" s="18" t="n">
        <v>85.2374971</v>
      </c>
      <c r="F30" s="20" t="n">
        <v>2.09430357</v>
      </c>
      <c r="G30" s="18" t="n">
        <v>5.06974202</v>
      </c>
      <c r="H30" s="20" t="n">
        <v>1.30126978</v>
      </c>
      <c r="I30" s="18" t="s">
        <v>349</v>
      </c>
      <c r="J30" s="20" t="s">
        <v>349</v>
      </c>
      <c r="K30" s="18" t="n">
        <v>0.66157279</v>
      </c>
      <c r="L30" s="20" t="n">
        <v>0.51351009</v>
      </c>
      <c r="M30" s="18" t="n">
        <v>0</v>
      </c>
      <c r="N30" s="20" t="n">
        <v>0</v>
      </c>
      <c r="O30" s="18" t="n">
        <v>0</v>
      </c>
      <c r="P30" s="20" t="n">
        <v>0</v>
      </c>
      <c r="Q30" s="18" t="n">
        <v>9.0311881</v>
      </c>
      <c r="R30" s="20" t="n">
        <v>1.68502619</v>
      </c>
    </row>
    <row r="31" spans="1:18">
      <c r="A31" s="15" t="s">
        <v>373</v>
      </c>
      <c r="B31" s="17" t="n">
        <v>2706</v>
      </c>
      <c r="C31" s="18">
        <f>(2387.0/B31*100)</f>
        <v/>
      </c>
      <c r="D31" s="19" t="n">
        <v>319</v>
      </c>
      <c r="E31" s="18" t="n">
        <v>84.12135675</v>
      </c>
      <c r="F31" s="20" t="n">
        <v>2.00081356</v>
      </c>
      <c r="G31" s="18" t="n">
        <v>5.90005823</v>
      </c>
      <c r="H31" s="20" t="n">
        <v>1.50925814</v>
      </c>
      <c r="I31" s="18" t="s">
        <v>349</v>
      </c>
      <c r="J31" s="20" t="s">
        <v>349</v>
      </c>
      <c r="K31" s="18" t="n">
        <v>1.83031773</v>
      </c>
      <c r="L31" s="20" t="n">
        <v>0.77129054</v>
      </c>
      <c r="M31" s="18" t="n">
        <v>0</v>
      </c>
      <c r="N31" s="20" t="n">
        <v>0</v>
      </c>
      <c r="O31" s="18" t="n">
        <v>0</v>
      </c>
      <c r="P31" s="20" t="n">
        <v>0</v>
      </c>
      <c r="Q31" s="18" t="n">
        <v>8.14826729</v>
      </c>
      <c r="R31" s="20" t="n">
        <v>1.53692257</v>
      </c>
    </row>
    <row r="32" spans="1:18">
      <c r="A32" s="15" t="s">
        <v>374</v>
      </c>
      <c r="B32" s="17" t="n">
        <v>2209</v>
      </c>
      <c r="C32" s="18">
        <f>(1847.0/B32*100)</f>
        <v/>
      </c>
      <c r="D32" s="19" t="n">
        <v>362</v>
      </c>
      <c r="E32" s="18" t="n">
        <v>87.10126052</v>
      </c>
      <c r="F32" s="20" t="n">
        <v>2.15986947</v>
      </c>
      <c r="G32" s="18" t="n">
        <v>7.3242853</v>
      </c>
      <c r="H32" s="20" t="n">
        <v>1.89934237</v>
      </c>
      <c r="I32" s="18" t="s">
        <v>349</v>
      </c>
      <c r="J32" s="20" t="s">
        <v>349</v>
      </c>
      <c r="K32" s="18" t="n">
        <v>0.57970799</v>
      </c>
      <c r="L32" s="20" t="n">
        <v>0.38078295</v>
      </c>
      <c r="M32" s="18" t="n">
        <v>0</v>
      </c>
      <c r="N32" s="20" t="n">
        <v>0</v>
      </c>
      <c r="O32" s="18" t="n">
        <v>0</v>
      </c>
      <c r="P32" s="20" t="n">
        <v>0</v>
      </c>
      <c r="Q32" s="18" t="n">
        <v>4.99474619</v>
      </c>
      <c r="R32" s="20" t="n">
        <v>1.14186299</v>
      </c>
    </row>
    <row r="33" spans="1:18">
      <c r="A33" s="15" t="s">
        <v>375</v>
      </c>
      <c r="B33" s="17" t="n">
        <v>3651</v>
      </c>
      <c r="C33" s="18">
        <f>(3217.0/B33*100)</f>
        <v/>
      </c>
      <c r="D33" s="19" t="n">
        <v>434</v>
      </c>
      <c r="E33" s="18" t="n">
        <v>89.54133876</v>
      </c>
      <c r="F33" s="20" t="n">
        <v>1.73524361</v>
      </c>
      <c r="G33" s="18" t="n">
        <v>3.49757104</v>
      </c>
      <c r="H33" s="20" t="n">
        <v>1.15036077</v>
      </c>
      <c r="I33" s="18" t="s">
        <v>349</v>
      </c>
      <c r="J33" s="20" t="s">
        <v>349</v>
      </c>
      <c r="K33" s="18" t="n">
        <v>1.10637722</v>
      </c>
      <c r="L33" s="20" t="n">
        <v>0.84214459</v>
      </c>
      <c r="M33" s="18" t="n">
        <v>0</v>
      </c>
      <c r="N33" s="20" t="n">
        <v>0</v>
      </c>
      <c r="O33" s="18" t="n">
        <v>0</v>
      </c>
      <c r="P33" s="20" t="n">
        <v>0</v>
      </c>
      <c r="Q33" s="18" t="n">
        <v>5.85471298</v>
      </c>
      <c r="R33" s="20" t="n">
        <v>1.31480425</v>
      </c>
    </row>
    <row r="34" spans="1:18">
      <c r="A34" s="15" t="s">
        <v>376</v>
      </c>
      <c r="B34" s="17" t="n">
        <v>3035</v>
      </c>
      <c r="C34" s="18">
        <f>(2658.0/B34*100)</f>
        <v/>
      </c>
      <c r="D34" s="19" t="n">
        <v>377</v>
      </c>
      <c r="E34" s="18" t="n">
        <v>86.10730307</v>
      </c>
      <c r="F34" s="20" t="n">
        <v>1.76626596</v>
      </c>
      <c r="G34" s="18" t="n">
        <v>6.13975611</v>
      </c>
      <c r="H34" s="20" t="n">
        <v>1.22094146</v>
      </c>
      <c r="I34" s="18" t="s">
        <v>349</v>
      </c>
      <c r="J34" s="20" t="s">
        <v>349</v>
      </c>
      <c r="K34" s="18" t="n">
        <v>1.27521949</v>
      </c>
      <c r="L34" s="20" t="n">
        <v>0.59731716</v>
      </c>
      <c r="M34" s="18" t="n">
        <v>0</v>
      </c>
      <c r="N34" s="20" t="n">
        <v>0</v>
      </c>
      <c r="O34" s="18" t="n">
        <v>0</v>
      </c>
      <c r="P34" s="20" t="n">
        <v>0</v>
      </c>
      <c r="Q34" s="18" t="n">
        <v>6.47772133</v>
      </c>
      <c r="R34" s="20" t="n">
        <v>1.2037497</v>
      </c>
    </row>
    <row r="35" spans="1:18">
      <c r="A35" s="15" t="s">
        <v>377</v>
      </c>
      <c r="B35" s="17" t="n">
        <v>2901</v>
      </c>
      <c r="C35" s="18">
        <f>(2563.0/B35*100)</f>
        <v/>
      </c>
      <c r="D35" s="19" t="n">
        <v>338</v>
      </c>
      <c r="E35" s="18" t="n">
        <v>85.10264247000001</v>
      </c>
      <c r="F35" s="20" t="n">
        <v>2.68123237</v>
      </c>
      <c r="G35" s="18" t="n">
        <v>9.355432800000001</v>
      </c>
      <c r="H35" s="20" t="n">
        <v>2.41797134</v>
      </c>
      <c r="I35" s="18" t="s">
        <v>349</v>
      </c>
      <c r="J35" s="20" t="s">
        <v>349</v>
      </c>
      <c r="K35" s="18" t="n">
        <v>0</v>
      </c>
      <c r="L35" s="20" t="n">
        <v>0</v>
      </c>
      <c r="M35" s="18" t="n">
        <v>0</v>
      </c>
      <c r="N35" s="20" t="n">
        <v>0</v>
      </c>
      <c r="O35" s="18" t="n">
        <v>0</v>
      </c>
      <c r="P35" s="20" t="n">
        <v>0</v>
      </c>
      <c r="Q35" s="18" t="n">
        <v>5.54192472</v>
      </c>
      <c r="R35" s="20" t="n">
        <v>1.59864519</v>
      </c>
    </row>
    <row r="36" spans="1:18">
      <c r="A36" s="15" t="s">
        <v>378</v>
      </c>
      <c r="B36" s="17" t="n">
        <v>3404</v>
      </c>
      <c r="C36" s="18">
        <f>(2963.0/B36*100)</f>
        <v/>
      </c>
      <c r="D36" s="19" t="n">
        <v>441</v>
      </c>
      <c r="E36" s="18" t="n">
        <v>88.70046716</v>
      </c>
      <c r="F36" s="20" t="n">
        <v>1.77188544</v>
      </c>
      <c r="G36" s="18" t="n">
        <v>3.43123037</v>
      </c>
      <c r="H36" s="20" t="n">
        <v>0.87801726</v>
      </c>
      <c r="I36" s="18" t="s">
        <v>349</v>
      </c>
      <c r="J36" s="20" t="s">
        <v>349</v>
      </c>
      <c r="K36" s="18" t="n">
        <v>0.29837356</v>
      </c>
      <c r="L36" s="20" t="n">
        <v>0.30074841</v>
      </c>
      <c r="M36" s="18" t="n">
        <v>0</v>
      </c>
      <c r="N36" s="20" t="n">
        <v>0</v>
      </c>
      <c r="O36" s="18" t="n">
        <v>0</v>
      </c>
      <c r="P36" s="20" t="n">
        <v>0</v>
      </c>
      <c r="Q36" s="18" t="n">
        <v>7.56992891</v>
      </c>
      <c r="R36" s="20" t="n">
        <v>1.38285739</v>
      </c>
    </row>
    <row r="37" spans="1:18">
      <c r="A37" s="15" t="s">
        <v>379</v>
      </c>
      <c r="B37" s="17" t="n">
        <v>2731</v>
      </c>
      <c r="C37" s="18">
        <f>(2398.0/B37*100)</f>
        <v/>
      </c>
      <c r="D37" s="19" t="n">
        <v>333</v>
      </c>
      <c r="E37" s="18" t="n">
        <v>79.58342700999999</v>
      </c>
      <c r="F37" s="20" t="n">
        <v>2.3330008</v>
      </c>
      <c r="G37" s="18" t="n">
        <v>8.71105698</v>
      </c>
      <c r="H37" s="20" t="n">
        <v>1.70180372</v>
      </c>
      <c r="I37" s="18" t="s">
        <v>349</v>
      </c>
      <c r="J37" s="20" t="s">
        <v>349</v>
      </c>
      <c r="K37" s="18" t="n">
        <v>1.22843784</v>
      </c>
      <c r="L37" s="20" t="n">
        <v>0.61728943</v>
      </c>
      <c r="M37" s="18" t="n">
        <v>0</v>
      </c>
      <c r="N37" s="20" t="n">
        <v>0</v>
      </c>
      <c r="O37" s="18" t="n">
        <v>0</v>
      </c>
      <c r="P37" s="20" t="n">
        <v>0</v>
      </c>
      <c r="Q37" s="18" t="n">
        <v>10.47707817</v>
      </c>
      <c r="R37" s="20" t="n">
        <v>1.57461326</v>
      </c>
    </row>
    <row r="38" spans="1:18">
      <c r="A38" s="15" t="s">
        <v>380</v>
      </c>
      <c r="B38" s="17" t="n">
        <v>2807</v>
      </c>
      <c r="C38" s="18">
        <f>(2352.0/B38*100)</f>
        <v/>
      </c>
      <c r="D38" s="19" t="n">
        <v>455</v>
      </c>
      <c r="E38" s="18" t="n">
        <v>83.8819409</v>
      </c>
      <c r="F38" s="20" t="n">
        <v>1.74016184</v>
      </c>
      <c r="G38" s="18" t="n">
        <v>11.30385808</v>
      </c>
      <c r="H38" s="20" t="n">
        <v>1.66393369</v>
      </c>
      <c r="I38" s="18" t="s">
        <v>349</v>
      </c>
      <c r="J38" s="20" t="s">
        <v>349</v>
      </c>
      <c r="K38" s="18" t="n">
        <v>0.26192179</v>
      </c>
      <c r="L38" s="20" t="n">
        <v>0.26158041</v>
      </c>
      <c r="M38" s="18" t="n">
        <v>0</v>
      </c>
      <c r="N38" s="20" t="n">
        <v>0</v>
      </c>
      <c r="O38" s="18" t="n">
        <v>0</v>
      </c>
      <c r="P38" s="20" t="n">
        <v>0</v>
      </c>
      <c r="Q38" s="18" t="n">
        <v>4.55227924</v>
      </c>
      <c r="R38" s="20" t="n">
        <v>1.06231361</v>
      </c>
    </row>
    <row r="39" spans="1:18">
      <c r="A39" s="15" t="s">
        <v>381</v>
      </c>
      <c r="B39" s="17" t="n">
        <v>2938</v>
      </c>
      <c r="C39" s="18">
        <f>(2583.0/B39*100)</f>
        <v/>
      </c>
      <c r="D39" s="19" t="n">
        <v>355</v>
      </c>
      <c r="E39" s="18" t="n">
        <v>90.58781281</v>
      </c>
      <c r="F39" s="20" t="n">
        <v>1.5472686</v>
      </c>
      <c r="G39" s="18" t="n">
        <v>4.13770035</v>
      </c>
      <c r="H39" s="20" t="n">
        <v>1.04472419</v>
      </c>
      <c r="I39" s="18" t="s">
        <v>349</v>
      </c>
      <c r="J39" s="20" t="s">
        <v>349</v>
      </c>
      <c r="K39" s="18" t="n">
        <v>0.62783811</v>
      </c>
      <c r="L39" s="20" t="n">
        <v>0.37377965</v>
      </c>
      <c r="M39" s="18" t="n">
        <v>0</v>
      </c>
      <c r="N39" s="20" t="n">
        <v>0</v>
      </c>
      <c r="O39" s="18" t="n">
        <v>0</v>
      </c>
      <c r="P39" s="20" t="n">
        <v>0</v>
      </c>
      <c r="Q39" s="18" t="n">
        <v>4.64664873</v>
      </c>
      <c r="R39" s="20" t="n">
        <v>1.16685569</v>
      </c>
    </row>
    <row r="40" spans="1:18">
      <c r="A40" s="15" t="s">
        <v>382</v>
      </c>
      <c r="B40" s="17" t="n">
        <v>6922</v>
      </c>
      <c r="C40" s="18">
        <f>(6087.0/B40*100)</f>
        <v/>
      </c>
      <c r="D40" s="19" t="n">
        <v>835</v>
      </c>
      <c r="E40" s="18" t="n">
        <v>87.97569276999999</v>
      </c>
      <c r="F40" s="20" t="n">
        <v>1.62755464</v>
      </c>
      <c r="G40" s="18" t="n">
        <v>4.8569671</v>
      </c>
      <c r="H40" s="20" t="n">
        <v>1.15016572</v>
      </c>
      <c r="I40" s="18" t="s">
        <v>349</v>
      </c>
      <c r="J40" s="20" t="s">
        <v>349</v>
      </c>
      <c r="K40" s="18" t="n">
        <v>0.58909277</v>
      </c>
      <c r="L40" s="20" t="n">
        <v>0.10055147</v>
      </c>
      <c r="M40" s="18" t="n">
        <v>0</v>
      </c>
      <c r="N40" s="20" t="n">
        <v>0</v>
      </c>
      <c r="O40" s="18" t="n">
        <v>0</v>
      </c>
      <c r="P40" s="20" t="n">
        <v>0</v>
      </c>
      <c r="Q40" s="18" t="n">
        <v>6.57824736</v>
      </c>
      <c r="R40" s="20" t="n">
        <v>1.45185374</v>
      </c>
    </row>
    <row r="41" spans="1:18">
      <c r="A41" s="15" t="s">
        <v>383</v>
      </c>
      <c r="B41" s="17" t="n">
        <v>2854</v>
      </c>
      <c r="C41" s="18">
        <f>(2499.0/B41*100)</f>
        <v/>
      </c>
      <c r="D41" s="19" t="n">
        <v>355</v>
      </c>
      <c r="E41" s="18" t="n">
        <v>94.84148779</v>
      </c>
      <c r="F41" s="20" t="n">
        <v>1.40405395</v>
      </c>
      <c r="G41" s="18" t="n">
        <v>4.0823925</v>
      </c>
      <c r="H41" s="20" t="n">
        <v>1.2310644</v>
      </c>
      <c r="I41" s="18" t="s">
        <v>349</v>
      </c>
      <c r="J41" s="20" t="s">
        <v>349</v>
      </c>
      <c r="K41" s="18" t="n">
        <v>0.31846971</v>
      </c>
      <c r="L41" s="20" t="n">
        <v>0.28413056</v>
      </c>
      <c r="M41" s="18" t="n">
        <v>0</v>
      </c>
      <c r="N41" s="20" t="n">
        <v>0</v>
      </c>
      <c r="O41" s="18" t="n">
        <v>0</v>
      </c>
      <c r="P41" s="20" t="n">
        <v>0</v>
      </c>
      <c r="Q41" s="18" t="n">
        <v>0.75764999</v>
      </c>
      <c r="R41" s="20" t="n">
        <v>0.4644432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(10737.0/B46*100)</f>
        <v/>
      </c>
      <c r="D46" s="19" t="n">
        <v>1336</v>
      </c>
      <c r="E46" s="18" t="n">
        <v>88.96628667</v>
      </c>
      <c r="F46" s="20" t="n">
        <v>1.14804029</v>
      </c>
      <c r="G46" s="18" t="n">
        <v>1.47360729</v>
      </c>
      <c r="H46" s="20" t="n">
        <v>0.47649805</v>
      </c>
      <c r="I46" s="18" t="s">
        <v>349</v>
      </c>
      <c r="J46" s="20" t="s">
        <v>349</v>
      </c>
      <c r="K46" s="18" t="n">
        <v>1.33863973</v>
      </c>
      <c r="L46" s="20" t="n">
        <v>0.42340312</v>
      </c>
      <c r="M46" s="18" t="n">
        <v>0</v>
      </c>
      <c r="N46" s="20" t="n">
        <v>0</v>
      </c>
      <c r="O46" s="18" t="n">
        <v>0</v>
      </c>
      <c r="P46" s="20" t="n">
        <v>0</v>
      </c>
      <c r="Q46" s="18" t="n">
        <v>8.221466319999999</v>
      </c>
      <c r="R46" s="20" t="n">
        <v>0.9565935800000001</v>
      </c>
    </row>
    <row r="47" spans="1:18">
      <c r="A47" s="15" t="s">
        <v>389</v>
      </c>
      <c r="B47" s="17" t="n">
        <v>2823</v>
      </c>
      <c r="C47" s="18">
        <f>(2476.0/B47*100)</f>
        <v/>
      </c>
      <c r="D47" s="19" t="n">
        <v>347</v>
      </c>
      <c r="E47" s="18" t="n">
        <v>92.25404712</v>
      </c>
      <c r="F47" s="20" t="n">
        <v>1.5918578</v>
      </c>
      <c r="G47" s="18" t="n">
        <v>1.74315258</v>
      </c>
      <c r="H47" s="20" t="n">
        <v>0.72533181</v>
      </c>
      <c r="I47" s="18" t="s">
        <v>349</v>
      </c>
      <c r="J47" s="20" t="s">
        <v>349</v>
      </c>
      <c r="K47" s="18" t="n">
        <v>0.28952166</v>
      </c>
      <c r="L47" s="20" t="n">
        <v>0.29775601</v>
      </c>
      <c r="M47" s="18" t="n">
        <v>0</v>
      </c>
      <c r="N47" s="20" t="n">
        <v>0</v>
      </c>
      <c r="O47" s="18" t="n">
        <v>0</v>
      </c>
      <c r="P47" s="20" t="n">
        <v>0</v>
      </c>
      <c r="Q47" s="18" t="n">
        <v>5.71327864</v>
      </c>
      <c r="R47" s="20" t="n">
        <v>1.38810097</v>
      </c>
    </row>
    <row r="48" spans="1:18">
      <c r="A48" s="15" t="s">
        <v>390</v>
      </c>
      <c r="B48" s="17" t="n">
        <v>4682</v>
      </c>
      <c r="C48" s="18">
        <f>(4108.0/B48*100)</f>
        <v/>
      </c>
      <c r="D48" s="19" t="n">
        <v>574</v>
      </c>
      <c r="E48" s="18" t="n">
        <v>87.01250167000001</v>
      </c>
      <c r="F48" s="20" t="n">
        <v>1.53930869</v>
      </c>
      <c r="G48" s="18" t="n">
        <v>11.48424846</v>
      </c>
      <c r="H48" s="20" t="n">
        <v>1.43649345</v>
      </c>
      <c r="I48" s="18" t="s">
        <v>349</v>
      </c>
      <c r="J48" s="20" t="s">
        <v>349</v>
      </c>
      <c r="K48" s="18" t="n">
        <v>0.04998663</v>
      </c>
      <c r="L48" s="20" t="n">
        <v>0.04958022</v>
      </c>
      <c r="M48" s="18" t="n">
        <v>0</v>
      </c>
      <c r="N48" s="20" t="n">
        <v>0</v>
      </c>
      <c r="O48" s="18" t="n">
        <v>0</v>
      </c>
      <c r="P48" s="20" t="n">
        <v>0</v>
      </c>
      <c r="Q48" s="18" t="n">
        <v>1.45326324</v>
      </c>
      <c r="R48" s="20" t="n">
        <v>0.60044401</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(5415.0/B50*100)</f>
        <v/>
      </c>
      <c r="D50" s="19" t="n">
        <v>743</v>
      </c>
      <c r="E50" s="18" t="n">
        <v>95.97519927</v>
      </c>
      <c r="F50" s="20" t="n">
        <v>0.90370998</v>
      </c>
      <c r="G50" s="18" t="n">
        <v>1.27272144</v>
      </c>
      <c r="H50" s="20" t="n">
        <v>0.59292536</v>
      </c>
      <c r="I50" s="18" t="s">
        <v>349</v>
      </c>
      <c r="J50" s="20" t="s">
        <v>349</v>
      </c>
      <c r="K50" s="18" t="n">
        <v>0.43773623</v>
      </c>
      <c r="L50" s="20" t="n">
        <v>0.32550427</v>
      </c>
      <c r="M50" s="18" t="n">
        <v>0</v>
      </c>
      <c r="N50" s="20" t="n">
        <v>0</v>
      </c>
      <c r="O50" s="18" t="n">
        <v>0</v>
      </c>
      <c r="P50" s="20" t="n">
        <v>0</v>
      </c>
      <c r="Q50" s="18" t="n">
        <v>2.31434306</v>
      </c>
      <c r="R50" s="20" t="n">
        <v>0.6275247900000001</v>
      </c>
    </row>
    <row r="51" spans="1:18">
      <c r="A51" s="15" t="s">
        <v>393</v>
      </c>
      <c r="B51" s="17" t="n">
        <v>3494</v>
      </c>
      <c r="C51" s="18">
        <f>(3126.0/B51*100)</f>
        <v/>
      </c>
      <c r="D51" s="19" t="n">
        <v>368</v>
      </c>
      <c r="E51" s="18" t="n">
        <v>92.24406599</v>
      </c>
      <c r="F51" s="20" t="n">
        <v>1.55825529</v>
      </c>
      <c r="G51" s="18" t="n">
        <v>1.2353898</v>
      </c>
      <c r="H51" s="20" t="n">
        <v>0.62423811</v>
      </c>
      <c r="I51" s="18" t="s">
        <v>349</v>
      </c>
      <c r="J51" s="20" t="s">
        <v>349</v>
      </c>
      <c r="K51" s="18" t="n">
        <v>0.6326731</v>
      </c>
      <c r="L51" s="20" t="n">
        <v>0.4192109</v>
      </c>
      <c r="M51" s="18" t="n">
        <v>0</v>
      </c>
      <c r="N51" s="20" t="n">
        <v>0</v>
      </c>
      <c r="O51" s="18" t="n">
        <v>0</v>
      </c>
      <c r="P51" s="20" t="n">
        <v>0</v>
      </c>
      <c r="Q51" s="18" t="n">
        <v>5.88787111</v>
      </c>
      <c r="R51" s="20" t="n">
        <v>1.43850724</v>
      </c>
    </row>
    <row r="52" spans="1:18">
      <c r="A52" s="15" t="s">
        <v>394</v>
      </c>
      <c r="B52" s="17" t="n">
        <v>3013</v>
      </c>
      <c r="C52" s="18">
        <f>(2645.0/B52*100)</f>
        <v/>
      </c>
      <c r="D52" s="19" t="n">
        <v>368</v>
      </c>
      <c r="E52" s="18" t="n">
        <v>92.04845786</v>
      </c>
      <c r="F52" s="20" t="n">
        <v>1.46634991</v>
      </c>
      <c r="G52" s="18" t="n">
        <v>1.93290566</v>
      </c>
      <c r="H52" s="20" t="n">
        <v>0.75590112</v>
      </c>
      <c r="I52" s="18" t="s">
        <v>349</v>
      </c>
      <c r="J52" s="20" t="s">
        <v>349</v>
      </c>
      <c r="K52" s="18" t="n">
        <v>0</v>
      </c>
      <c r="L52" s="20" t="n">
        <v>0</v>
      </c>
      <c r="M52" s="18" t="n">
        <v>0</v>
      </c>
      <c r="N52" s="20" t="n">
        <v>0</v>
      </c>
      <c r="O52" s="18" t="n">
        <v>0</v>
      </c>
      <c r="P52" s="20" t="n">
        <v>0</v>
      </c>
      <c r="Q52" s="18" t="n">
        <v>6.01863647</v>
      </c>
      <c r="R52" s="20" t="n">
        <v>1.32527976</v>
      </c>
    </row>
    <row r="53" spans="1:18">
      <c r="A53" s="15" t="s">
        <v>395</v>
      </c>
      <c r="B53" s="17" t="n">
        <v>2760</v>
      </c>
      <c r="C53" s="18">
        <f>(2409.0/B53*100)</f>
        <v/>
      </c>
      <c r="D53" s="19" t="n">
        <v>351</v>
      </c>
      <c r="E53" s="18" t="n">
        <v>90.30341081</v>
      </c>
      <c r="F53" s="20" t="n">
        <v>1.45884898</v>
      </c>
      <c r="G53" s="18" t="n">
        <v>1.39996566</v>
      </c>
      <c r="H53" s="20" t="n">
        <v>0.61791431</v>
      </c>
      <c r="I53" s="18" t="s">
        <v>349</v>
      </c>
      <c r="J53" s="20" t="s">
        <v>349</v>
      </c>
      <c r="K53" s="18" t="n">
        <v>0.24710721</v>
      </c>
      <c r="L53" s="20" t="n">
        <v>0.24666296</v>
      </c>
      <c r="M53" s="18" t="n">
        <v>0</v>
      </c>
      <c r="N53" s="20" t="n">
        <v>0</v>
      </c>
      <c r="O53" s="18" t="n">
        <v>0</v>
      </c>
      <c r="P53" s="20" t="n">
        <v>0</v>
      </c>
      <c r="Q53" s="18" t="n">
        <v>8.049516329999999</v>
      </c>
      <c r="R53" s="20" t="n">
        <v>1.33616927</v>
      </c>
    </row>
    <row r="54" spans="1:18">
      <c r="A54" s="15" t="s">
        <v>396</v>
      </c>
      <c r="B54" s="17" t="n">
        <v>2474</v>
      </c>
      <c r="C54" s="18">
        <f>(2039.0/B54*100)</f>
        <v/>
      </c>
      <c r="D54" s="19" t="n">
        <v>435</v>
      </c>
      <c r="E54" s="18" t="n">
        <v>84.62909189</v>
      </c>
      <c r="F54" s="20" t="n">
        <v>1.95622542</v>
      </c>
      <c r="G54" s="18" t="n">
        <v>0.48905856</v>
      </c>
      <c r="H54" s="20" t="n">
        <v>0.361124</v>
      </c>
      <c r="I54" s="18" t="s">
        <v>349</v>
      </c>
      <c r="J54" s="20" t="s">
        <v>349</v>
      </c>
      <c r="K54" s="18" t="n">
        <v>7.64182728</v>
      </c>
      <c r="L54" s="20" t="n">
        <v>1.32397312</v>
      </c>
      <c r="M54" s="18" t="n">
        <v>0</v>
      </c>
      <c r="N54" s="20" t="n">
        <v>0</v>
      </c>
      <c r="O54" s="18" t="n">
        <v>0</v>
      </c>
      <c r="P54" s="20" t="n">
        <v>0</v>
      </c>
      <c r="Q54" s="18" t="n">
        <v>7.24002226</v>
      </c>
      <c r="R54" s="20" t="n">
        <v>1.39651794</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(2339.0/B56*100)</f>
        <v/>
      </c>
      <c r="D56" s="19" t="n">
        <v>336</v>
      </c>
      <c r="E56" s="18" t="n">
        <v>89.06437927</v>
      </c>
      <c r="F56" s="20" t="n">
        <v>1.69073055</v>
      </c>
      <c r="G56" s="18" t="n">
        <v>9.91865692</v>
      </c>
      <c r="H56" s="20" t="n">
        <v>1.65044262</v>
      </c>
      <c r="I56" s="18" t="s">
        <v>349</v>
      </c>
      <c r="J56" s="20" t="s">
        <v>349</v>
      </c>
      <c r="K56" s="18" t="n">
        <v>0</v>
      </c>
      <c r="L56" s="20" t="n">
        <v>0</v>
      </c>
      <c r="M56" s="18" t="n">
        <v>0</v>
      </c>
      <c r="N56" s="20" t="n">
        <v>0</v>
      </c>
      <c r="O56" s="18" t="n">
        <v>0</v>
      </c>
      <c r="P56" s="20" t="n">
        <v>0</v>
      </c>
      <c r="Q56" s="18" t="n">
        <v>1.01696381</v>
      </c>
      <c r="R56" s="20" t="n">
        <v>0.60166686</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(2800.0/B61*100)</f>
        <v/>
      </c>
      <c r="D61" s="19" t="n">
        <v>401</v>
      </c>
      <c r="E61" s="18" t="n">
        <v>90.90232383</v>
      </c>
      <c r="F61" s="20" t="n">
        <v>1.39350893</v>
      </c>
      <c r="G61" s="18" t="n">
        <v>4.90900362</v>
      </c>
      <c r="H61" s="20" t="n">
        <v>1.01555109</v>
      </c>
      <c r="I61" s="18" t="s">
        <v>349</v>
      </c>
      <c r="J61" s="20" t="s">
        <v>349</v>
      </c>
      <c r="K61" s="18" t="n">
        <v>0.72167382</v>
      </c>
      <c r="L61" s="20" t="n">
        <v>0.70681778</v>
      </c>
      <c r="M61" s="18" t="n">
        <v>0</v>
      </c>
      <c r="N61" s="20" t="n">
        <v>0</v>
      </c>
      <c r="O61" s="18" t="n">
        <v>0</v>
      </c>
      <c r="P61" s="20" t="n">
        <v>0</v>
      </c>
      <c r="Q61" s="18" t="n">
        <v>3.46699873</v>
      </c>
      <c r="R61" s="20" t="n">
        <v>0.99049436</v>
      </c>
    </row>
    <row r="62" spans="1:18">
      <c r="A62" s="15" t="s">
        <v>404</v>
      </c>
      <c r="B62" s="17" t="n">
        <v>2230</v>
      </c>
      <c r="C62" s="18">
        <f>(1973.0/B62*100)</f>
        <v/>
      </c>
      <c r="D62" s="19" t="n">
        <v>257</v>
      </c>
      <c r="E62" s="18" t="n">
        <v>91.47103377000001</v>
      </c>
      <c r="F62" s="20" t="n">
        <v>1.80657449</v>
      </c>
      <c r="G62" s="18" t="n">
        <v>7.35355644</v>
      </c>
      <c r="H62" s="20" t="n">
        <v>1.66405647</v>
      </c>
      <c r="I62" s="18" t="s">
        <v>349</v>
      </c>
      <c r="J62" s="20" t="s">
        <v>349</v>
      </c>
      <c r="K62" s="18" t="n">
        <v>0.38620585</v>
      </c>
      <c r="L62" s="20" t="n">
        <v>0.38772096</v>
      </c>
      <c r="M62" s="18" t="n">
        <v>0</v>
      </c>
      <c r="N62" s="20" t="n">
        <v>0</v>
      </c>
      <c r="O62" s="18" t="n">
        <v>0</v>
      </c>
      <c r="P62" s="20" t="n">
        <v>0</v>
      </c>
      <c r="Q62" s="18" t="n">
        <v>0.78920394</v>
      </c>
      <c r="R62" s="20" t="n">
        <v>0.5684398899999999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(2440.0/B66*100)</f>
        <v/>
      </c>
      <c r="D66" s="19" t="n">
        <v>331</v>
      </c>
      <c r="E66" s="18" t="n">
        <v>83.66296262</v>
      </c>
      <c r="F66" s="20" t="n">
        <v>1.64242162</v>
      </c>
      <c r="G66" s="18" t="n">
        <v>0.59554008</v>
      </c>
      <c r="H66" s="20" t="n">
        <v>0.42192727</v>
      </c>
      <c r="I66" s="18" t="s">
        <v>349</v>
      </c>
      <c r="J66" s="20" t="s">
        <v>349</v>
      </c>
      <c r="K66" s="18" t="n">
        <v>2.41040743</v>
      </c>
      <c r="L66" s="20" t="n">
        <v>0.8566284</v>
      </c>
      <c r="M66" s="18" t="n">
        <v>0</v>
      </c>
      <c r="N66" s="20" t="n">
        <v>0</v>
      </c>
      <c r="O66" s="18" t="n">
        <v>0</v>
      </c>
      <c r="P66" s="20" t="n">
        <v>0</v>
      </c>
      <c r="Q66" s="18" t="n">
        <v>13.33108987</v>
      </c>
      <c r="R66" s="20" t="n">
        <v>1.66743632</v>
      </c>
    </row>
    <row r="67" spans="1:18">
      <c r="A67" s="15" t="s">
        <v>409</v>
      </c>
      <c r="B67" s="17" t="n">
        <v>3460</v>
      </c>
      <c r="C67" s="18">
        <f>(3055.0/B67*100)</f>
        <v/>
      </c>
      <c r="D67" s="19" t="n">
        <v>405</v>
      </c>
      <c r="E67" s="18" t="n">
        <v>91.77164567</v>
      </c>
      <c r="F67" s="20" t="n">
        <v>1.54381582</v>
      </c>
      <c r="G67" s="18" t="n">
        <v>1.09711588</v>
      </c>
      <c r="H67" s="20" t="n">
        <v>0.4901714</v>
      </c>
      <c r="I67" s="18" t="s">
        <v>349</v>
      </c>
      <c r="J67" s="20" t="s">
        <v>349</v>
      </c>
      <c r="K67" s="18" t="n">
        <v>0</v>
      </c>
      <c r="L67" s="20" t="n">
        <v>0</v>
      </c>
      <c r="M67" s="18" t="n">
        <v>0</v>
      </c>
      <c r="N67" s="20" t="n">
        <v>0</v>
      </c>
      <c r="O67" s="18" t="n">
        <v>0</v>
      </c>
      <c r="P67" s="20" t="n">
        <v>0</v>
      </c>
      <c r="Q67" s="18" t="n">
        <v>7.13123845</v>
      </c>
      <c r="R67" s="20" t="n">
        <v>1.39877941</v>
      </c>
    </row>
    <row r="68" spans="1:18">
      <c r="A68" s="15" t="s">
        <v>410</v>
      </c>
      <c r="B68" s="17" t="n">
        <v>6034</v>
      </c>
      <c r="C68" s="18">
        <f>(5038.0/B68*100)</f>
        <v/>
      </c>
      <c r="D68" s="19" t="n">
        <v>996</v>
      </c>
      <c r="E68" s="18" t="n">
        <v>91.00937797</v>
      </c>
      <c r="F68" s="20" t="n">
        <v>0.88809368</v>
      </c>
      <c r="G68" s="18" t="n">
        <v>2.26408993</v>
      </c>
      <c r="H68" s="20" t="n">
        <v>0.45660964</v>
      </c>
      <c r="I68" s="18" t="s">
        <v>349</v>
      </c>
      <c r="J68" s="20" t="s">
        <v>349</v>
      </c>
      <c r="K68" s="18" t="n">
        <v>1.87065288</v>
      </c>
      <c r="L68" s="20" t="n">
        <v>0.40382396</v>
      </c>
      <c r="M68" s="18" t="n">
        <v>0</v>
      </c>
      <c r="N68" s="20" t="n">
        <v>0</v>
      </c>
      <c r="O68" s="18" t="n">
        <v>0</v>
      </c>
      <c r="P68" s="20" t="n">
        <v>0</v>
      </c>
      <c r="Q68" s="18" t="n">
        <v>4.85587921</v>
      </c>
      <c r="R68" s="20" t="n">
        <v>0.77211725</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(2752.0/B70*100)</f>
        <v/>
      </c>
      <c r="D70" s="19" t="n">
        <v>355</v>
      </c>
      <c r="E70" s="18" t="n">
        <v>88.19735724</v>
      </c>
      <c r="F70" s="20" t="n">
        <v>1.92166953</v>
      </c>
      <c r="G70" s="18" t="n">
        <v>8.468105270000001</v>
      </c>
      <c r="H70" s="20" t="n">
        <v>1.8348248</v>
      </c>
      <c r="I70" s="18" t="s">
        <v>349</v>
      </c>
      <c r="J70" s="20" t="s">
        <v>349</v>
      </c>
      <c r="K70" s="18" t="n">
        <v>0.22296078</v>
      </c>
      <c r="L70" s="20" t="n">
        <v>0.22040501</v>
      </c>
      <c r="M70" s="18" t="n">
        <v>0</v>
      </c>
      <c r="N70" s="20" t="n">
        <v>0</v>
      </c>
      <c r="O70" s="18" t="n">
        <v>0</v>
      </c>
      <c r="P70" s="20" t="n">
        <v>0</v>
      </c>
      <c r="Q70" s="18" t="n">
        <v>3.1115767</v>
      </c>
      <c r="R70" s="20" t="n">
        <v>1.59673621</v>
      </c>
    </row>
    <row r="71" spans="1:18">
      <c r="A71" s="15" t="s">
        <v>413</v>
      </c>
      <c r="B71" s="17" t="n">
        <v>2973</v>
      </c>
      <c r="C71" s="18">
        <f>(2595.0/B71*100)</f>
        <v/>
      </c>
      <c r="D71" s="19" t="n">
        <v>378</v>
      </c>
      <c r="E71" s="18" t="n">
        <v>84.43400576000001</v>
      </c>
      <c r="F71" s="20" t="n">
        <v>2.15123667</v>
      </c>
      <c r="G71" s="18" t="n">
        <v>15.11967096</v>
      </c>
      <c r="H71" s="20" t="n">
        <v>2.16445276</v>
      </c>
      <c r="I71" s="18" t="s">
        <v>349</v>
      </c>
      <c r="J71" s="20" t="s">
        <v>349</v>
      </c>
      <c r="K71" s="18" t="n">
        <v>0.30344591</v>
      </c>
      <c r="L71" s="20" t="n">
        <v>0.30178352</v>
      </c>
      <c r="M71" s="18" t="n">
        <v>0</v>
      </c>
      <c r="N71" s="20" t="n">
        <v>0</v>
      </c>
      <c r="O71" s="18" t="n">
        <v>0</v>
      </c>
      <c r="P71" s="20" t="n">
        <v>0</v>
      </c>
      <c r="Q71" s="18" t="n">
        <v>0.14287737</v>
      </c>
      <c r="R71" s="20" t="n">
        <v>0.14657869</v>
      </c>
    </row>
    <row r="72" spans="1:18">
      <c r="A72" s="15" t="s">
        <v>414</v>
      </c>
      <c r="B72" s="17" t="n">
        <v>3819</v>
      </c>
      <c r="C72" s="18">
        <f>(3329.0/B72*100)</f>
        <v/>
      </c>
      <c r="D72" s="19" t="n">
        <v>490</v>
      </c>
      <c r="E72" s="18" t="n">
        <v>83.68717649</v>
      </c>
      <c r="F72" s="20" t="n">
        <v>2.02902593</v>
      </c>
      <c r="G72" s="18" t="n">
        <v>14.04339337</v>
      </c>
      <c r="H72" s="20" t="n">
        <v>1.92788758</v>
      </c>
      <c r="I72" s="18" t="s">
        <v>349</v>
      </c>
      <c r="J72" s="20" t="s">
        <v>349</v>
      </c>
      <c r="K72" s="18" t="n">
        <v>0.22178018</v>
      </c>
      <c r="L72" s="20" t="n">
        <v>0.22147429</v>
      </c>
      <c r="M72" s="18" t="n">
        <v>0</v>
      </c>
      <c r="N72" s="20" t="n">
        <v>0</v>
      </c>
      <c r="O72" s="18" t="n">
        <v>0</v>
      </c>
      <c r="P72" s="20" t="n">
        <v>0</v>
      </c>
      <c r="Q72" s="18" t="n">
        <v>2.04764995</v>
      </c>
      <c r="R72" s="20" t="n">
        <v>0.70402421</v>
      </c>
    </row>
    <row r="73" spans="1:18">
      <c r="A73" s="15" t="s">
        <v>415</v>
      </c>
      <c r="B73" s="17" t="n">
        <v>4652</v>
      </c>
      <c r="C73" s="18">
        <f>(4094.0/B73*100)</f>
        <v/>
      </c>
      <c r="D73" s="19" t="n">
        <v>558</v>
      </c>
      <c r="E73" s="18" t="n">
        <v>96.14841979000001</v>
      </c>
      <c r="F73" s="20" t="n">
        <v>1.01163421</v>
      </c>
      <c r="G73" s="18" t="n">
        <v>2.58577493</v>
      </c>
      <c r="H73" s="20" t="n">
        <v>0.77343916</v>
      </c>
      <c r="I73" s="18" t="s">
        <v>349</v>
      </c>
      <c r="J73" s="20" t="s">
        <v>349</v>
      </c>
      <c r="K73" s="18" t="n">
        <v>0</v>
      </c>
      <c r="L73" s="20" t="n">
        <v>0</v>
      </c>
      <c r="M73" s="18" t="n">
        <v>0</v>
      </c>
      <c r="N73" s="20" t="n">
        <v>0</v>
      </c>
      <c r="O73" s="18" t="n">
        <v>0</v>
      </c>
      <c r="P73" s="20" t="n">
        <v>0</v>
      </c>
      <c r="Q73" s="18" t="n">
        <v>1.26580528</v>
      </c>
      <c r="R73" s="20" t="n">
        <v>0.67903518</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(2621.0/B75*100)</f>
        <v/>
      </c>
      <c r="D75" s="19" t="n">
        <v>348</v>
      </c>
      <c r="E75" s="18" t="n">
        <v>86.71401025</v>
      </c>
      <c r="F75" s="20" t="n">
        <v>1.84283007</v>
      </c>
      <c r="G75" s="18" t="n">
        <v>0</v>
      </c>
      <c r="H75" s="20" t="n">
        <v>0</v>
      </c>
      <c r="I75" s="18" t="s">
        <v>349</v>
      </c>
      <c r="J75" s="20" t="s">
        <v>349</v>
      </c>
      <c r="K75" s="18" t="n">
        <v>2.78834634</v>
      </c>
      <c r="L75" s="20" t="n">
        <v>0.89453348</v>
      </c>
      <c r="M75" s="18" t="n">
        <v>0</v>
      </c>
      <c r="N75" s="20" t="n">
        <v>0</v>
      </c>
      <c r="O75" s="18" t="n">
        <v>0</v>
      </c>
      <c r="P75" s="20" t="n">
        <v>0</v>
      </c>
      <c r="Q75" s="18" t="n">
        <v>10.49764341</v>
      </c>
      <c r="R75" s="20" t="n">
        <v>1.79233678</v>
      </c>
    </row>
    <row r="76" spans="1:18">
      <c r="A76" s="15" t="s">
        <v>418</v>
      </c>
      <c r="B76" s="17" t="n">
        <v>7115</v>
      </c>
      <c r="C76" s="18">
        <f>(6232.0/B76*100)</f>
        <v/>
      </c>
      <c r="D76" s="19" t="n">
        <v>883</v>
      </c>
      <c r="E76" s="18" t="n">
        <v>96.40388743</v>
      </c>
      <c r="F76" s="20" t="n">
        <v>0.75799652</v>
      </c>
      <c r="G76" s="18" t="n">
        <v>0.88884391</v>
      </c>
      <c r="H76" s="20" t="n">
        <v>0.26295889</v>
      </c>
      <c r="I76" s="18" t="s">
        <v>349</v>
      </c>
      <c r="J76" s="20" t="s">
        <v>349</v>
      </c>
      <c r="K76" s="18" t="n">
        <v>0.1075531</v>
      </c>
      <c r="L76" s="20" t="n">
        <v>0.0763107</v>
      </c>
      <c r="M76" s="18" t="n">
        <v>0</v>
      </c>
      <c r="N76" s="20" t="n">
        <v>0</v>
      </c>
      <c r="O76" s="18" t="n">
        <v>0</v>
      </c>
      <c r="P76" s="20" t="n">
        <v>0</v>
      </c>
      <c r="Q76" s="18" t="n">
        <v>2.59971556</v>
      </c>
      <c r="R76" s="20" t="n">
        <v>0.70596698</v>
      </c>
    </row>
    <row r="77" spans="1:18">
      <c r="A77" s="15" t="s">
        <v>419</v>
      </c>
      <c r="B77" s="17" t="n">
        <v>3154</v>
      </c>
      <c r="C77" s="18">
        <f>(2767.0/B77*100)</f>
        <v/>
      </c>
      <c r="D77" s="19" t="n">
        <v>387</v>
      </c>
      <c r="E77" s="18" t="n">
        <v>86.0617999</v>
      </c>
      <c r="F77" s="20" t="n">
        <v>1.91462004</v>
      </c>
      <c r="G77" s="18" t="n">
        <v>0.78221732</v>
      </c>
      <c r="H77" s="20" t="n">
        <v>0.39097663</v>
      </c>
      <c r="I77" s="18" t="s">
        <v>349</v>
      </c>
      <c r="J77" s="20" t="s">
        <v>349</v>
      </c>
      <c r="K77" s="18" t="n">
        <v>1.81002386</v>
      </c>
      <c r="L77" s="20" t="n">
        <v>0.82161476</v>
      </c>
      <c r="M77" s="18" t="n">
        <v>0</v>
      </c>
      <c r="N77" s="20" t="n">
        <v>0</v>
      </c>
      <c r="O77" s="18" t="n">
        <v>0</v>
      </c>
      <c r="P77" s="20" t="n">
        <v>0</v>
      </c>
      <c r="Q77" s="18" t="n">
        <v>11.34595893</v>
      </c>
      <c r="R77" s="20" t="n">
        <v>1.7501206</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(4102.0/B81*100)</f>
        <v/>
      </c>
      <c r="D81" s="19" t="n">
        <v>596</v>
      </c>
      <c r="E81" s="18" t="n">
        <v>93.3238607</v>
      </c>
      <c r="F81" s="20" t="n">
        <v>1.37376715</v>
      </c>
      <c r="G81" s="18" t="n">
        <v>5.05587092</v>
      </c>
      <c r="H81" s="20" t="n">
        <v>1.15346228</v>
      </c>
      <c r="I81" s="18" t="s">
        <v>349</v>
      </c>
      <c r="J81" s="20" t="s">
        <v>349</v>
      </c>
      <c r="K81" s="18" t="n">
        <v>0</v>
      </c>
      <c r="L81" s="20" t="n">
        <v>0</v>
      </c>
      <c r="M81" s="18" t="n">
        <v>0</v>
      </c>
      <c r="N81" s="20" t="n">
        <v>0</v>
      </c>
      <c r="O81" s="18" t="n">
        <v>0</v>
      </c>
      <c r="P81" s="20" t="n">
        <v>0</v>
      </c>
      <c r="Q81" s="18" t="n">
        <v>1.62026838</v>
      </c>
      <c r="R81" s="20" t="n">
        <v>0.74850324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(6290.0/B7*100)</f>
        <v/>
      </c>
      <c r="D7" s="19" t="n">
        <v>873</v>
      </c>
      <c r="E7" s="18" t="n">
        <v>19.22241858</v>
      </c>
      <c r="F7" s="20" t="n">
        <v>1.6578442</v>
      </c>
      <c r="G7" s="18" t="n">
        <v>79.27389024999999</v>
      </c>
      <c r="H7" s="20" t="n">
        <v>1.73102848</v>
      </c>
      <c r="I7" s="18" t="s">
        <v>349</v>
      </c>
      <c r="J7" s="20" t="s">
        <v>349</v>
      </c>
      <c r="K7" s="18" t="n">
        <v>0.27232432</v>
      </c>
      <c r="L7" s="20" t="n">
        <v>0.13883072</v>
      </c>
      <c r="M7" s="18" t="n">
        <v>0</v>
      </c>
      <c r="N7" s="20" t="n">
        <v>0</v>
      </c>
      <c r="O7" s="18" t="n">
        <v>0</v>
      </c>
      <c r="P7" s="20" t="n">
        <v>0</v>
      </c>
      <c r="Q7" s="18" t="n">
        <v>1.23136686</v>
      </c>
      <c r="R7" s="20" t="n">
        <v>0.41724835</v>
      </c>
    </row>
    <row r="8" spans="1:18">
      <c r="A8" s="15" t="s">
        <v>350</v>
      </c>
      <c r="B8" s="17" t="n">
        <v>3443</v>
      </c>
      <c r="C8" s="18">
        <f>(3011.0/B8*100)</f>
        <v/>
      </c>
      <c r="D8" s="19" t="n">
        <v>432</v>
      </c>
      <c r="E8" s="18" t="n">
        <v>23.02942558</v>
      </c>
      <c r="F8" s="20" t="n">
        <v>2.33691418</v>
      </c>
      <c r="G8" s="18" t="n">
        <v>74.97383051</v>
      </c>
      <c r="H8" s="20" t="n">
        <v>2.54689139</v>
      </c>
      <c r="I8" s="18" t="s">
        <v>349</v>
      </c>
      <c r="J8" s="20" t="s">
        <v>349</v>
      </c>
      <c r="K8" s="18" t="n">
        <v>0.39713473</v>
      </c>
      <c r="L8" s="20" t="n">
        <v>0.33078485</v>
      </c>
      <c r="M8" s="18" t="n">
        <v>0</v>
      </c>
      <c r="N8" s="20" t="n">
        <v>0</v>
      </c>
      <c r="O8" s="18" t="n">
        <v>0</v>
      </c>
      <c r="P8" s="20" t="n">
        <v>0</v>
      </c>
      <c r="Q8" s="18" t="n">
        <v>1.59960918</v>
      </c>
      <c r="R8" s="20" t="n">
        <v>0.57005704</v>
      </c>
    </row>
    <row r="9" spans="1:18">
      <c r="A9" s="15" t="s">
        <v>351</v>
      </c>
      <c r="B9" s="17" t="n">
        <v>4752</v>
      </c>
      <c r="C9" s="18">
        <f>(4167.0/B9*100)</f>
        <v/>
      </c>
      <c r="D9" s="19" t="n">
        <v>585</v>
      </c>
      <c r="E9" s="18" t="n">
        <v>31.5300098</v>
      </c>
      <c r="F9" s="20" t="n">
        <v>2.06430018</v>
      </c>
      <c r="G9" s="18" t="n">
        <v>65.56615793</v>
      </c>
      <c r="H9" s="20" t="n">
        <v>2.02729326</v>
      </c>
      <c r="I9" s="18" t="s">
        <v>349</v>
      </c>
      <c r="J9" s="20" t="s">
        <v>349</v>
      </c>
      <c r="K9" s="18" t="n">
        <v>1.49053908</v>
      </c>
      <c r="L9" s="20" t="n">
        <v>0.6435928</v>
      </c>
      <c r="M9" s="18" t="n">
        <v>0.37779369</v>
      </c>
      <c r="N9" s="20" t="n">
        <v>0.20469258</v>
      </c>
      <c r="O9" s="18" t="n">
        <v>0</v>
      </c>
      <c r="P9" s="20" t="n">
        <v>0</v>
      </c>
      <c r="Q9" s="18" t="n">
        <v>1.0354995</v>
      </c>
      <c r="R9" s="20" t="n">
        <v>0.45286648</v>
      </c>
    </row>
    <row r="10" spans="1:18">
      <c r="A10" s="15" t="s">
        <v>352</v>
      </c>
      <c r="B10" s="17" t="n">
        <v>10022</v>
      </c>
      <c r="C10" s="18">
        <f>(8758.0/B10*100)</f>
        <v/>
      </c>
      <c r="D10" s="19" t="n">
        <v>1264</v>
      </c>
      <c r="E10" s="18" t="n">
        <v>21.44344954</v>
      </c>
      <c r="F10" s="20" t="n">
        <v>1.68021466</v>
      </c>
      <c r="G10" s="18" t="n">
        <v>78.10137401</v>
      </c>
      <c r="H10" s="20" t="n">
        <v>1.73831243</v>
      </c>
      <c r="I10" s="18" t="s">
        <v>349</v>
      </c>
      <c r="J10" s="20" t="s">
        <v>349</v>
      </c>
      <c r="K10" s="18" t="n">
        <v>0.11317775</v>
      </c>
      <c r="L10" s="20" t="n">
        <v>0.09104075</v>
      </c>
      <c r="M10" s="18" t="n">
        <v>0.01093939</v>
      </c>
      <c r="N10" s="20" t="n">
        <v>0.01092161</v>
      </c>
      <c r="O10" s="18" t="n">
        <v>0</v>
      </c>
      <c r="P10" s="20" t="n">
        <v>0</v>
      </c>
      <c r="Q10" s="18" t="n">
        <v>0.33105931</v>
      </c>
      <c r="R10" s="20" t="n">
        <v>0.1496197</v>
      </c>
    </row>
    <row r="11" spans="1:18">
      <c r="A11" s="15" t="s">
        <v>353</v>
      </c>
      <c r="B11" s="17" t="n">
        <v>3500</v>
      </c>
      <c r="C11" s="18">
        <f>(3087.0/B11*100)</f>
        <v/>
      </c>
      <c r="D11" s="19" t="n">
        <v>413</v>
      </c>
      <c r="E11" s="18" t="n">
        <v>47.31727659</v>
      </c>
      <c r="F11" s="20" t="n">
        <v>2.75141502</v>
      </c>
      <c r="G11" s="18" t="n">
        <v>47.4340979</v>
      </c>
      <c r="H11" s="20" t="n">
        <v>2.99704888</v>
      </c>
      <c r="I11" s="18" t="s">
        <v>349</v>
      </c>
      <c r="J11" s="20" t="s">
        <v>349</v>
      </c>
      <c r="K11" s="18" t="n">
        <v>0.91045299</v>
      </c>
      <c r="L11" s="20" t="n">
        <v>0.49916823</v>
      </c>
      <c r="M11" s="18" t="n">
        <v>0</v>
      </c>
      <c r="N11" s="20" t="n">
        <v>0</v>
      </c>
      <c r="O11" s="18" t="n">
        <v>0</v>
      </c>
      <c r="P11" s="20" t="n">
        <v>0</v>
      </c>
      <c r="Q11" s="18" t="n">
        <v>4.33817252</v>
      </c>
      <c r="R11" s="20" t="n">
        <v>1.09634792</v>
      </c>
    </row>
    <row r="12" spans="1:18">
      <c r="A12" s="15" t="s">
        <v>354</v>
      </c>
      <c r="B12" s="17" t="n">
        <v>3422</v>
      </c>
      <c r="C12" s="18">
        <f>(3037.0/B12*100)</f>
        <v/>
      </c>
      <c r="D12" s="19" t="n">
        <v>385</v>
      </c>
      <c r="E12" s="18" t="n">
        <v>23.52669136</v>
      </c>
      <c r="F12" s="20" t="n">
        <v>2.60681913</v>
      </c>
      <c r="G12" s="18" t="n">
        <v>74.12094690000001</v>
      </c>
      <c r="H12" s="20" t="n">
        <v>2.53754004</v>
      </c>
      <c r="I12" s="18" t="s">
        <v>349</v>
      </c>
      <c r="J12" s="20" t="s">
        <v>349</v>
      </c>
      <c r="K12" s="18" t="n">
        <v>0</v>
      </c>
      <c r="L12" s="20" t="n">
        <v>0</v>
      </c>
      <c r="M12" s="18" t="n">
        <v>0</v>
      </c>
      <c r="N12" s="20" t="n">
        <v>0</v>
      </c>
      <c r="O12" s="18" t="n">
        <v>0</v>
      </c>
      <c r="P12" s="20" t="n">
        <v>0</v>
      </c>
      <c r="Q12" s="18" t="n">
        <v>2.35236173</v>
      </c>
      <c r="R12" s="20" t="n">
        <v>0.66973858</v>
      </c>
    </row>
    <row r="13" spans="1:18">
      <c r="A13" s="15" t="s">
        <v>355</v>
      </c>
      <c r="B13" s="17" t="n">
        <v>3602</v>
      </c>
      <c r="C13" s="18">
        <f>(3173.0/B13*100)</f>
        <v/>
      </c>
      <c r="D13" s="19" t="n">
        <v>429</v>
      </c>
      <c r="E13" s="18" t="n">
        <v>19.98796979</v>
      </c>
      <c r="F13" s="20" t="n">
        <v>2.12051183</v>
      </c>
      <c r="G13" s="18" t="n">
        <v>77.88819654</v>
      </c>
      <c r="H13" s="20" t="n">
        <v>2.28058259</v>
      </c>
      <c r="I13" s="18" t="s">
        <v>349</v>
      </c>
      <c r="J13" s="20" t="s">
        <v>349</v>
      </c>
      <c r="K13" s="18" t="n">
        <v>1.10800796</v>
      </c>
      <c r="L13" s="20" t="n">
        <v>0.58876576</v>
      </c>
      <c r="M13" s="18" t="n">
        <v>0</v>
      </c>
      <c r="N13" s="20" t="n">
        <v>0</v>
      </c>
      <c r="O13" s="18" t="n">
        <v>0</v>
      </c>
      <c r="P13" s="20" t="n">
        <v>0</v>
      </c>
      <c r="Q13" s="18" t="n">
        <v>1.01582571</v>
      </c>
      <c r="R13" s="20" t="n">
        <v>0.5303927899999999</v>
      </c>
    </row>
    <row r="14" spans="1:18">
      <c r="A14" s="15" t="s">
        <v>356</v>
      </c>
      <c r="B14" s="17" t="n">
        <v>2788</v>
      </c>
      <c r="C14" s="18">
        <f>(2458.0/B14*100)</f>
        <v/>
      </c>
      <c r="D14" s="19" t="n">
        <v>330</v>
      </c>
      <c r="E14" s="18" t="n">
        <v>24.40122824</v>
      </c>
      <c r="F14" s="20" t="n">
        <v>2.67101075</v>
      </c>
      <c r="G14" s="18" t="n">
        <v>75.59877176000001</v>
      </c>
      <c r="H14" s="20" t="n">
        <v>2.67101075</v>
      </c>
      <c r="I14" s="18" t="s">
        <v>349</v>
      </c>
      <c r="J14" s="20" t="s">
        <v>349</v>
      </c>
      <c r="K14" s="18" t="n">
        <v>0</v>
      </c>
      <c r="L14" s="20" t="n">
        <v>0</v>
      </c>
      <c r="M14" s="18" t="n">
        <v>0</v>
      </c>
      <c r="N14" s="20" t="n">
        <v>0</v>
      </c>
      <c r="O14" s="18" t="n">
        <v>0</v>
      </c>
      <c r="P14" s="20" t="n">
        <v>0</v>
      </c>
      <c r="Q14" s="18" t="n">
        <v>0</v>
      </c>
      <c r="R14" s="20" t="n">
        <v>0</v>
      </c>
    </row>
    <row r="15" spans="1:18">
      <c r="A15" s="15" t="s">
        <v>357</v>
      </c>
      <c r="B15" s="17" t="n">
        <v>2863</v>
      </c>
      <c r="C15" s="18">
        <f>(2519.0/B15*100)</f>
        <v/>
      </c>
      <c r="D15" s="19" t="n">
        <v>344</v>
      </c>
      <c r="E15" s="18" t="n">
        <v>17.90192728</v>
      </c>
      <c r="F15" s="20" t="n">
        <v>2.08116816</v>
      </c>
      <c r="G15" s="18" t="n">
        <v>80.01994458999999</v>
      </c>
      <c r="H15" s="20" t="n">
        <v>2.04771877</v>
      </c>
      <c r="I15" s="18" t="s">
        <v>349</v>
      </c>
      <c r="J15" s="20" t="s">
        <v>349</v>
      </c>
      <c r="K15" s="18" t="n">
        <v>0.64396717</v>
      </c>
      <c r="L15" s="20" t="n">
        <v>0.4647921</v>
      </c>
      <c r="M15" s="18" t="n">
        <v>0</v>
      </c>
      <c r="N15" s="20" t="n">
        <v>0</v>
      </c>
      <c r="O15" s="18" t="n">
        <v>0</v>
      </c>
      <c r="P15" s="20" t="n">
        <v>0</v>
      </c>
      <c r="Q15" s="18" t="n">
        <v>1.43416096</v>
      </c>
      <c r="R15" s="20" t="n">
        <v>0.55803665</v>
      </c>
    </row>
    <row r="16" spans="1:18">
      <c r="A16" s="15" t="s">
        <v>358</v>
      </c>
      <c r="B16" s="17" t="n">
        <v>3111</v>
      </c>
      <c r="C16" s="18">
        <f>(2742.0/B16*100)</f>
        <v/>
      </c>
      <c r="D16" s="19" t="n">
        <v>369</v>
      </c>
      <c r="E16" s="18" t="n">
        <v>27.10438327</v>
      </c>
      <c r="F16" s="20" t="n">
        <v>2.39403293</v>
      </c>
      <c r="G16" s="18" t="n">
        <v>70.48228281</v>
      </c>
      <c r="H16" s="20" t="n">
        <v>2.51378979</v>
      </c>
      <c r="I16" s="18" t="s">
        <v>349</v>
      </c>
      <c r="J16" s="20" t="s">
        <v>349</v>
      </c>
      <c r="K16" s="18" t="n">
        <v>1.04730786</v>
      </c>
      <c r="L16" s="20" t="n">
        <v>0.52803456</v>
      </c>
      <c r="M16" s="18" t="n">
        <v>0</v>
      </c>
      <c r="N16" s="20" t="n">
        <v>0</v>
      </c>
      <c r="O16" s="18" t="n">
        <v>0</v>
      </c>
      <c r="P16" s="20" t="n">
        <v>0</v>
      </c>
      <c r="Q16" s="18" t="n">
        <v>1.36602606</v>
      </c>
      <c r="R16" s="20" t="n">
        <v>0.82055413</v>
      </c>
    </row>
    <row r="17" spans="1:18">
      <c r="A17" s="15" t="s">
        <v>359</v>
      </c>
      <c r="B17" s="17" t="n">
        <v>3197</v>
      </c>
      <c r="C17" s="18">
        <f>(2818.0/B17*100)</f>
        <v/>
      </c>
      <c r="D17" s="19" t="n">
        <v>379</v>
      </c>
      <c r="E17" s="18" t="n">
        <v>20.57697711</v>
      </c>
      <c r="F17" s="20" t="n">
        <v>2.62903104</v>
      </c>
      <c r="G17" s="18" t="n">
        <v>78.55382729999999</v>
      </c>
      <c r="H17" s="20" t="n">
        <v>2.64173669</v>
      </c>
      <c r="I17" s="18" t="s">
        <v>349</v>
      </c>
      <c r="J17" s="20" t="s">
        <v>349</v>
      </c>
      <c r="K17" s="18" t="n">
        <v>0</v>
      </c>
      <c r="L17" s="20" t="n">
        <v>0</v>
      </c>
      <c r="M17" s="18" t="n">
        <v>0</v>
      </c>
      <c r="N17" s="20" t="n">
        <v>0</v>
      </c>
      <c r="O17" s="18" t="n">
        <v>0</v>
      </c>
      <c r="P17" s="20" t="n">
        <v>0</v>
      </c>
      <c r="Q17" s="18" t="n">
        <v>0.86919559</v>
      </c>
      <c r="R17" s="20" t="n">
        <v>0.53928095</v>
      </c>
    </row>
    <row r="18" spans="1:18">
      <c r="A18" s="15" t="s">
        <v>360</v>
      </c>
      <c r="B18" s="17" t="n">
        <v>2706</v>
      </c>
      <c r="C18" s="18">
        <f>(2385.0/B18*100)</f>
        <v/>
      </c>
      <c r="D18" s="19" t="n">
        <v>321</v>
      </c>
      <c r="E18" s="18" t="n">
        <v>34.36839234</v>
      </c>
      <c r="F18" s="20" t="n">
        <v>2.64483963</v>
      </c>
      <c r="G18" s="18" t="n">
        <v>62.61750692</v>
      </c>
      <c r="H18" s="20" t="n">
        <v>2.76303564</v>
      </c>
      <c r="I18" s="18" t="s">
        <v>349</v>
      </c>
      <c r="J18" s="20" t="s">
        <v>349</v>
      </c>
      <c r="K18" s="18" t="n">
        <v>0.35418452</v>
      </c>
      <c r="L18" s="20" t="n">
        <v>0.28821996</v>
      </c>
      <c r="M18" s="18" t="n">
        <v>0.18990188</v>
      </c>
      <c r="N18" s="20" t="n">
        <v>0.18984673</v>
      </c>
      <c r="O18" s="18" t="n">
        <v>0</v>
      </c>
      <c r="P18" s="20" t="n">
        <v>0</v>
      </c>
      <c r="Q18" s="18" t="n">
        <v>2.47001434</v>
      </c>
      <c r="R18" s="20" t="n">
        <v>0.96392565</v>
      </c>
    </row>
    <row r="19" spans="1:18">
      <c r="A19" s="15" t="s">
        <v>361</v>
      </c>
      <c r="B19" s="17" t="n">
        <v>2850</v>
      </c>
      <c r="C19" s="18">
        <f>(2528.0/B19*100)</f>
        <v/>
      </c>
      <c r="D19" s="19" t="n">
        <v>322</v>
      </c>
      <c r="E19" s="18" t="n">
        <v>32.22013967</v>
      </c>
      <c r="F19" s="20" t="n">
        <v>2.65267821</v>
      </c>
      <c r="G19" s="18" t="n">
        <v>62.49850892</v>
      </c>
      <c r="H19" s="20" t="n">
        <v>2.74258783</v>
      </c>
      <c r="I19" s="18" t="s">
        <v>349</v>
      </c>
      <c r="J19" s="20" t="s">
        <v>349</v>
      </c>
      <c r="K19" s="18" t="n">
        <v>0.82437973</v>
      </c>
      <c r="L19" s="20" t="n">
        <v>0.47979205</v>
      </c>
      <c r="M19" s="18" t="n">
        <v>0</v>
      </c>
      <c r="N19" s="20" t="n">
        <v>0</v>
      </c>
      <c r="O19" s="18" t="n">
        <v>0</v>
      </c>
      <c r="P19" s="20" t="n">
        <v>0</v>
      </c>
      <c r="Q19" s="18" t="n">
        <v>4.45697168</v>
      </c>
      <c r="R19" s="20" t="n">
        <v>1.21782178</v>
      </c>
    </row>
    <row r="20" spans="1:18">
      <c r="A20" s="15" t="s">
        <v>362</v>
      </c>
      <c r="B20" s="17" t="n">
        <v>1741</v>
      </c>
      <c r="C20" s="18">
        <f>(1530.0/B20*100)</f>
        <v/>
      </c>
      <c r="D20" s="19" t="n">
        <v>211</v>
      </c>
      <c r="E20" s="18" t="n">
        <v>29.355066</v>
      </c>
      <c r="F20" s="20" t="n">
        <v>3.49684129</v>
      </c>
      <c r="G20" s="18" t="n">
        <v>67.22901894</v>
      </c>
      <c r="H20" s="20" t="n">
        <v>3.39645802</v>
      </c>
      <c r="I20" s="18" t="s">
        <v>349</v>
      </c>
      <c r="J20" s="20" t="s">
        <v>349</v>
      </c>
      <c r="K20" s="18" t="n">
        <v>0.4412308</v>
      </c>
      <c r="L20" s="20" t="n">
        <v>0.44266325</v>
      </c>
      <c r="M20" s="18" t="n">
        <v>0</v>
      </c>
      <c r="N20" s="20" t="n">
        <v>0</v>
      </c>
      <c r="O20" s="18" t="n">
        <v>0</v>
      </c>
      <c r="P20" s="20" t="n">
        <v>0</v>
      </c>
      <c r="Q20" s="18" t="n">
        <v>2.97468426</v>
      </c>
      <c r="R20" s="20" t="n">
        <v>1.20355172</v>
      </c>
    </row>
    <row r="21" spans="1:18">
      <c r="A21" s="15" t="s">
        <v>363</v>
      </c>
      <c r="B21" s="17" t="n">
        <v>2833</v>
      </c>
      <c r="C21" s="18">
        <f>(2378.0/B21*100)</f>
        <v/>
      </c>
      <c r="D21" s="19" t="n">
        <v>455</v>
      </c>
      <c r="E21" s="18" t="n">
        <v>21.96381017</v>
      </c>
      <c r="F21" s="20" t="n">
        <v>1.85917147</v>
      </c>
      <c r="G21" s="18" t="n">
        <v>77.02953098</v>
      </c>
      <c r="H21" s="20" t="n">
        <v>1.84576575</v>
      </c>
      <c r="I21" s="18" t="s">
        <v>349</v>
      </c>
      <c r="J21" s="20" t="s">
        <v>349</v>
      </c>
      <c r="K21" s="18" t="n">
        <v>0</v>
      </c>
      <c r="L21" s="20" t="n">
        <v>0</v>
      </c>
      <c r="M21" s="18" t="n">
        <v>0</v>
      </c>
      <c r="N21" s="20" t="n">
        <v>0</v>
      </c>
      <c r="O21" s="18" t="n">
        <v>0</v>
      </c>
      <c r="P21" s="20" t="n">
        <v>0</v>
      </c>
      <c r="Q21" s="18" t="n">
        <v>1.00665885</v>
      </c>
      <c r="R21" s="20" t="n">
        <v>0.5056391</v>
      </c>
    </row>
    <row r="22" spans="1:18">
      <c r="A22" s="15" t="s">
        <v>364</v>
      </c>
      <c r="B22" s="17" t="n">
        <v>3667</v>
      </c>
      <c r="C22" s="18">
        <f>(3198.0/B22*100)</f>
        <v/>
      </c>
      <c r="D22" s="19" t="n">
        <v>469</v>
      </c>
      <c r="E22" s="18" t="n">
        <v>33.3532322</v>
      </c>
      <c r="F22" s="20" t="n">
        <v>2.7267556</v>
      </c>
      <c r="G22" s="18" t="n">
        <v>58.80707679</v>
      </c>
      <c r="H22" s="20" t="n">
        <v>2.78972288</v>
      </c>
      <c r="I22" s="18" t="s">
        <v>349</v>
      </c>
      <c r="J22" s="20" t="s">
        <v>349</v>
      </c>
      <c r="K22" s="18" t="n">
        <v>2.55205209</v>
      </c>
      <c r="L22" s="20" t="n">
        <v>0.74963503</v>
      </c>
      <c r="M22" s="18" t="n">
        <v>0.35994763</v>
      </c>
      <c r="N22" s="20" t="n">
        <v>0.35594409</v>
      </c>
      <c r="O22" s="18" t="n">
        <v>0</v>
      </c>
      <c r="P22" s="20" t="n">
        <v>0</v>
      </c>
      <c r="Q22" s="18" t="n">
        <v>4.92769129</v>
      </c>
      <c r="R22" s="20" t="n">
        <v>1.13740155</v>
      </c>
    </row>
    <row r="23" spans="1:18">
      <c r="A23" s="15" t="s">
        <v>365</v>
      </c>
      <c r="B23" s="17" t="n">
        <v>5792</v>
      </c>
      <c r="C23" s="18">
        <f>(5056.0/B23*100)</f>
        <v/>
      </c>
      <c r="D23" s="19" t="n">
        <v>736</v>
      </c>
      <c r="E23" s="18" t="n">
        <v>33.70346218</v>
      </c>
      <c r="F23" s="20" t="n">
        <v>2.51043379</v>
      </c>
      <c r="G23" s="18" t="n">
        <v>61.34134091</v>
      </c>
      <c r="H23" s="20" t="n">
        <v>2.30539369</v>
      </c>
      <c r="I23" s="18" t="s">
        <v>349</v>
      </c>
      <c r="J23" s="20" t="s">
        <v>349</v>
      </c>
      <c r="K23" s="18" t="n">
        <v>1.15396353</v>
      </c>
      <c r="L23" s="20" t="n">
        <v>0.63306567</v>
      </c>
      <c r="M23" s="18" t="n">
        <v>0</v>
      </c>
      <c r="N23" s="20" t="n">
        <v>0</v>
      </c>
      <c r="O23" s="18" t="n">
        <v>0</v>
      </c>
      <c r="P23" s="20" t="n">
        <v>0</v>
      </c>
      <c r="Q23" s="18" t="n">
        <v>3.80123338</v>
      </c>
      <c r="R23" s="20" t="n">
        <v>0.9102421000000001</v>
      </c>
    </row>
    <row r="24" spans="1:18">
      <c r="A24" s="15" t="s">
        <v>366</v>
      </c>
      <c r="B24" s="17" t="n">
        <v>3309</v>
      </c>
      <c r="C24" s="18">
        <f>(2908.0/B24*100)</f>
        <v/>
      </c>
      <c r="D24" s="19" t="n">
        <v>401</v>
      </c>
      <c r="E24" s="18" t="n">
        <v>20.71692803</v>
      </c>
      <c r="F24" s="20" t="n">
        <v>2.04338757</v>
      </c>
      <c r="G24" s="18" t="n">
        <v>76.79891512</v>
      </c>
      <c r="H24" s="20" t="n">
        <v>2.11133082</v>
      </c>
      <c r="I24" s="18" t="s">
        <v>349</v>
      </c>
      <c r="J24" s="20" t="s">
        <v>349</v>
      </c>
      <c r="K24" s="18" t="n">
        <v>0</v>
      </c>
      <c r="L24" s="20" t="n">
        <v>0</v>
      </c>
      <c r="M24" s="18" t="n">
        <v>0</v>
      </c>
      <c r="N24" s="20" t="n">
        <v>0</v>
      </c>
      <c r="O24" s="18" t="n">
        <v>0</v>
      </c>
      <c r="P24" s="20" t="n">
        <v>0</v>
      </c>
      <c r="Q24" s="18" t="n">
        <v>2.48415685</v>
      </c>
      <c r="R24" s="20" t="n">
        <v>0.85309421</v>
      </c>
    </row>
    <row r="25" spans="1:18">
      <c r="A25" s="15" t="s">
        <v>367</v>
      </c>
      <c r="B25" s="17" t="n">
        <v>2669</v>
      </c>
      <c r="C25" s="18">
        <f>(2343.0/B25*100)</f>
        <v/>
      </c>
      <c r="D25" s="19" t="n">
        <v>326</v>
      </c>
      <c r="E25" s="18" t="n">
        <v>30.98425764</v>
      </c>
      <c r="F25" s="20" t="n">
        <v>2.14227057</v>
      </c>
      <c r="G25" s="18" t="n">
        <v>68.42901831</v>
      </c>
      <c r="H25" s="20" t="n">
        <v>2.17462062</v>
      </c>
      <c r="I25" s="18" t="s">
        <v>349</v>
      </c>
      <c r="J25" s="20" t="s">
        <v>349</v>
      </c>
      <c r="K25" s="18" t="n">
        <v>0.58672406</v>
      </c>
      <c r="L25" s="20" t="n">
        <v>0.49847186</v>
      </c>
      <c r="M25" s="18" t="n">
        <v>0</v>
      </c>
      <c r="N25" s="20" t="n">
        <v>0</v>
      </c>
      <c r="O25" s="18" t="n">
        <v>0</v>
      </c>
      <c r="P25" s="20" t="n">
        <v>0</v>
      </c>
      <c r="Q25" s="18" t="n">
        <v>0</v>
      </c>
      <c r="R25" s="20" t="n">
        <v>0</v>
      </c>
    </row>
    <row r="26" spans="1:18">
      <c r="A26" s="15" t="s">
        <v>368</v>
      </c>
      <c r="B26" s="17" t="n">
        <v>2419</v>
      </c>
      <c r="C26" s="18">
        <f>(2130.0/B26*100)</f>
        <v/>
      </c>
      <c r="D26" s="19" t="n">
        <v>289</v>
      </c>
      <c r="E26" s="18" t="n">
        <v>24.86718835</v>
      </c>
      <c r="F26" s="20" t="n">
        <v>2.74889272</v>
      </c>
      <c r="G26" s="18" t="n">
        <v>73.95185656</v>
      </c>
      <c r="H26" s="20" t="n">
        <v>2.8598429</v>
      </c>
      <c r="I26" s="18" t="s">
        <v>349</v>
      </c>
      <c r="J26" s="20" t="s">
        <v>349</v>
      </c>
      <c r="K26" s="18" t="n">
        <v>0.25971371</v>
      </c>
      <c r="L26" s="20" t="n">
        <v>0.26308117</v>
      </c>
      <c r="M26" s="18" t="n">
        <v>0</v>
      </c>
      <c r="N26" s="20" t="n">
        <v>0</v>
      </c>
      <c r="O26" s="18" t="n">
        <v>0</v>
      </c>
      <c r="P26" s="20" t="n">
        <v>0</v>
      </c>
      <c r="Q26" s="18" t="n">
        <v>0.92124138</v>
      </c>
      <c r="R26" s="20" t="n">
        <v>0.5343557799999999</v>
      </c>
    </row>
    <row r="27" spans="1:18">
      <c r="A27" s="15" t="s">
        <v>369</v>
      </c>
      <c r="B27" s="17" t="n">
        <v>2683</v>
      </c>
      <c r="C27" s="18">
        <f>(2354.0/B27*100)</f>
        <v/>
      </c>
      <c r="D27" s="19" t="n">
        <v>329</v>
      </c>
      <c r="E27" s="18" t="n">
        <v>30.17129125</v>
      </c>
      <c r="F27" s="20" t="n">
        <v>2.40921781</v>
      </c>
      <c r="G27" s="18" t="n">
        <v>68.32172773000001</v>
      </c>
      <c r="H27" s="20" t="n">
        <v>2.42054399</v>
      </c>
      <c r="I27" s="18" t="s">
        <v>349</v>
      </c>
      <c r="J27" s="20" t="s">
        <v>349</v>
      </c>
      <c r="K27" s="18" t="n">
        <v>0.30191135</v>
      </c>
      <c r="L27" s="20" t="n">
        <v>0.30125284</v>
      </c>
      <c r="M27" s="18" t="n">
        <v>0</v>
      </c>
      <c r="N27" s="20" t="n">
        <v>0</v>
      </c>
      <c r="O27" s="18" t="n">
        <v>0</v>
      </c>
      <c r="P27" s="20" t="n">
        <v>0</v>
      </c>
      <c r="Q27" s="18" t="n">
        <v>1.20506966</v>
      </c>
      <c r="R27" s="20" t="n">
        <v>0.73909269</v>
      </c>
    </row>
    <row r="28" spans="1:18">
      <c r="A28" s="15" t="s">
        <v>370</v>
      </c>
      <c r="B28" s="17" t="n">
        <v>3803</v>
      </c>
      <c r="C28" s="18">
        <f>(3378.0/B28*100)</f>
        <v/>
      </c>
      <c r="D28" s="19" t="n">
        <v>425</v>
      </c>
      <c r="E28" s="18" t="n">
        <v>58.52414493</v>
      </c>
      <c r="F28" s="20" t="n">
        <v>2.34800201</v>
      </c>
      <c r="G28" s="18" t="n">
        <v>40.29098853</v>
      </c>
      <c r="H28" s="20" t="n">
        <v>2.3656767</v>
      </c>
      <c r="I28" s="18" t="s">
        <v>349</v>
      </c>
      <c r="J28" s="20" t="s">
        <v>349</v>
      </c>
      <c r="K28" s="18" t="n">
        <v>0.68812116</v>
      </c>
      <c r="L28" s="20" t="n">
        <v>0.40968103</v>
      </c>
      <c r="M28" s="18" t="n">
        <v>0</v>
      </c>
      <c r="N28" s="20" t="n">
        <v>0</v>
      </c>
      <c r="O28" s="18" t="n">
        <v>0</v>
      </c>
      <c r="P28" s="20" t="n">
        <v>0</v>
      </c>
      <c r="Q28" s="18" t="n">
        <v>0.49674538</v>
      </c>
      <c r="R28" s="20" t="n">
        <v>0.35916427</v>
      </c>
    </row>
    <row r="29" spans="1:18">
      <c r="A29" s="15" t="s">
        <v>371</v>
      </c>
      <c r="B29" s="17" t="n">
        <v>2700</v>
      </c>
      <c r="C29" s="18">
        <f>(2368.0/B29*100)</f>
        <v/>
      </c>
      <c r="D29" s="19" t="n">
        <v>332</v>
      </c>
      <c r="E29" s="18" t="n">
        <v>28.65515483</v>
      </c>
      <c r="F29" s="20" t="n">
        <v>2.20316229</v>
      </c>
      <c r="G29" s="18" t="n">
        <v>70.15898439999999</v>
      </c>
      <c r="H29" s="20" t="n">
        <v>2.21785102</v>
      </c>
      <c r="I29" s="18" t="s">
        <v>349</v>
      </c>
      <c r="J29" s="20" t="s">
        <v>349</v>
      </c>
      <c r="K29" s="18" t="n">
        <v>0</v>
      </c>
      <c r="L29" s="20" t="n">
        <v>0</v>
      </c>
      <c r="M29" s="18" t="n">
        <v>0</v>
      </c>
      <c r="N29" s="20" t="n">
        <v>0</v>
      </c>
      <c r="O29" s="18" t="n">
        <v>0</v>
      </c>
      <c r="P29" s="20" t="n">
        <v>0</v>
      </c>
      <c r="Q29" s="18" t="n">
        <v>1.18586077</v>
      </c>
      <c r="R29" s="20" t="n">
        <v>0.59860644</v>
      </c>
    </row>
    <row r="30" spans="1:18">
      <c r="A30" s="15" t="s">
        <v>372</v>
      </c>
      <c r="B30" s="17" t="n">
        <v>2257</v>
      </c>
      <c r="C30" s="18">
        <f>(1962.0/B30*100)</f>
        <v/>
      </c>
      <c r="D30" s="19" t="n">
        <v>295</v>
      </c>
      <c r="E30" s="18" t="n">
        <v>21.68706599</v>
      </c>
      <c r="F30" s="20" t="n">
        <v>2.41673665</v>
      </c>
      <c r="G30" s="18" t="n">
        <v>75.72611531</v>
      </c>
      <c r="H30" s="20" t="n">
        <v>2.38644863</v>
      </c>
      <c r="I30" s="18" t="s">
        <v>349</v>
      </c>
      <c r="J30" s="20" t="s">
        <v>349</v>
      </c>
      <c r="K30" s="18" t="n">
        <v>0.67436765</v>
      </c>
      <c r="L30" s="20" t="n">
        <v>0.52341606</v>
      </c>
      <c r="M30" s="18" t="n">
        <v>0</v>
      </c>
      <c r="N30" s="20" t="n">
        <v>0</v>
      </c>
      <c r="O30" s="18" t="n">
        <v>0</v>
      </c>
      <c r="P30" s="20" t="n">
        <v>0</v>
      </c>
      <c r="Q30" s="18" t="n">
        <v>1.91245105</v>
      </c>
      <c r="R30" s="20" t="n">
        <v>0.75429991</v>
      </c>
    </row>
    <row r="31" spans="1:18">
      <c r="A31" s="15" t="s">
        <v>373</v>
      </c>
      <c r="B31" s="17" t="n">
        <v>2706</v>
      </c>
      <c r="C31" s="18">
        <f>(2390.0/B31*100)</f>
        <v/>
      </c>
      <c r="D31" s="19" t="n">
        <v>316</v>
      </c>
      <c r="E31" s="18" t="n">
        <v>17.42363653</v>
      </c>
      <c r="F31" s="20" t="n">
        <v>2.3750805</v>
      </c>
      <c r="G31" s="18" t="n">
        <v>77.38102202</v>
      </c>
      <c r="H31" s="20" t="n">
        <v>2.48949406</v>
      </c>
      <c r="I31" s="18" t="s">
        <v>349</v>
      </c>
      <c r="J31" s="20" t="s">
        <v>349</v>
      </c>
      <c r="K31" s="18" t="n">
        <v>1.98575292</v>
      </c>
      <c r="L31" s="20" t="n">
        <v>0.7883027500000001</v>
      </c>
      <c r="M31" s="18" t="n">
        <v>0</v>
      </c>
      <c r="N31" s="20" t="n">
        <v>0</v>
      </c>
      <c r="O31" s="18" t="n">
        <v>0</v>
      </c>
      <c r="P31" s="20" t="n">
        <v>0</v>
      </c>
      <c r="Q31" s="18" t="n">
        <v>3.20958853</v>
      </c>
      <c r="R31" s="20" t="n">
        <v>1.02097282</v>
      </c>
    </row>
    <row r="32" spans="1:18">
      <c r="A32" s="15" t="s">
        <v>374</v>
      </c>
      <c r="B32" s="17" t="n">
        <v>2209</v>
      </c>
      <c r="C32" s="18">
        <f>(1847.0/B32*100)</f>
        <v/>
      </c>
      <c r="D32" s="19" t="n">
        <v>362</v>
      </c>
      <c r="E32" s="18" t="n">
        <v>25.61640153</v>
      </c>
      <c r="F32" s="20" t="n">
        <v>1.98308399</v>
      </c>
      <c r="G32" s="18" t="n">
        <v>73.24117971</v>
      </c>
      <c r="H32" s="20" t="n">
        <v>2.10090862</v>
      </c>
      <c r="I32" s="18" t="s">
        <v>349</v>
      </c>
      <c r="J32" s="20" t="s">
        <v>349</v>
      </c>
      <c r="K32" s="18" t="n">
        <v>0.57964101</v>
      </c>
      <c r="L32" s="20" t="n">
        <v>0.38073843</v>
      </c>
      <c r="M32" s="18" t="n">
        <v>0</v>
      </c>
      <c r="N32" s="20" t="n">
        <v>0</v>
      </c>
      <c r="O32" s="18" t="n">
        <v>0</v>
      </c>
      <c r="P32" s="20" t="n">
        <v>0</v>
      </c>
      <c r="Q32" s="18" t="n">
        <v>0.56277775</v>
      </c>
      <c r="R32" s="20" t="n">
        <v>0.39832803</v>
      </c>
    </row>
    <row r="33" spans="1:18">
      <c r="A33" s="15" t="s">
        <v>375</v>
      </c>
      <c r="B33" s="17" t="n">
        <v>3651</v>
      </c>
      <c r="C33" s="18">
        <f>(3226.0/B33*100)</f>
        <v/>
      </c>
      <c r="D33" s="19" t="n">
        <v>425</v>
      </c>
      <c r="E33" s="18" t="n">
        <v>35.58029692</v>
      </c>
      <c r="F33" s="20" t="n">
        <v>2.53736578</v>
      </c>
      <c r="G33" s="18" t="n">
        <v>62.16245309</v>
      </c>
      <c r="H33" s="20" t="n">
        <v>2.57563694</v>
      </c>
      <c r="I33" s="18" t="s">
        <v>349</v>
      </c>
      <c r="J33" s="20" t="s">
        <v>349</v>
      </c>
      <c r="K33" s="18" t="n">
        <v>1.1337511</v>
      </c>
      <c r="L33" s="20" t="n">
        <v>0.86272371</v>
      </c>
      <c r="M33" s="18" t="n">
        <v>0</v>
      </c>
      <c r="N33" s="20" t="n">
        <v>0</v>
      </c>
      <c r="O33" s="18" t="n">
        <v>0</v>
      </c>
      <c r="P33" s="20" t="n">
        <v>0</v>
      </c>
      <c r="Q33" s="18" t="n">
        <v>1.12349889</v>
      </c>
      <c r="R33" s="20" t="n">
        <v>0.59956478</v>
      </c>
    </row>
    <row r="34" spans="1:18">
      <c r="A34" s="15" t="s">
        <v>376</v>
      </c>
      <c r="B34" s="17" t="n">
        <v>3035</v>
      </c>
      <c r="C34" s="18">
        <f>(2661.0/B34*100)</f>
        <v/>
      </c>
      <c r="D34" s="19" t="n">
        <v>374</v>
      </c>
      <c r="E34" s="18" t="n">
        <v>34.56158639</v>
      </c>
      <c r="F34" s="20" t="n">
        <v>2.65872454</v>
      </c>
      <c r="G34" s="18" t="n">
        <v>60.99923911</v>
      </c>
      <c r="H34" s="20" t="n">
        <v>2.49075454</v>
      </c>
      <c r="I34" s="18" t="s">
        <v>349</v>
      </c>
      <c r="J34" s="20" t="s">
        <v>349</v>
      </c>
      <c r="K34" s="18" t="n">
        <v>1.28398118</v>
      </c>
      <c r="L34" s="20" t="n">
        <v>0.60229934</v>
      </c>
      <c r="M34" s="18" t="n">
        <v>0</v>
      </c>
      <c r="N34" s="20" t="n">
        <v>0</v>
      </c>
      <c r="O34" s="18" t="n">
        <v>0</v>
      </c>
      <c r="P34" s="20" t="n">
        <v>0</v>
      </c>
      <c r="Q34" s="18" t="n">
        <v>3.15519332</v>
      </c>
      <c r="R34" s="20" t="n">
        <v>1.44807115</v>
      </c>
    </row>
    <row r="35" spans="1:18">
      <c r="A35" s="15" t="s">
        <v>377</v>
      </c>
      <c r="B35" s="17" t="n">
        <v>2901</v>
      </c>
      <c r="C35" s="18">
        <f>(2564.0/B35*100)</f>
        <v/>
      </c>
      <c r="D35" s="19" t="n">
        <v>337</v>
      </c>
      <c r="E35" s="18" t="n">
        <v>22.94398091</v>
      </c>
      <c r="F35" s="20" t="n">
        <v>2.86246628</v>
      </c>
      <c r="G35" s="18" t="n">
        <v>74.88838036</v>
      </c>
      <c r="H35" s="20" t="n">
        <v>3.04304659</v>
      </c>
      <c r="I35" s="18" t="s">
        <v>349</v>
      </c>
      <c r="J35" s="20" t="s">
        <v>349</v>
      </c>
      <c r="K35" s="18" t="n">
        <v>0</v>
      </c>
      <c r="L35" s="20" t="n">
        <v>0</v>
      </c>
      <c r="M35" s="18" t="n">
        <v>0.77861233</v>
      </c>
      <c r="N35" s="20" t="n">
        <v>0.7354866</v>
      </c>
      <c r="O35" s="18" t="n">
        <v>0</v>
      </c>
      <c r="P35" s="20" t="n">
        <v>0</v>
      </c>
      <c r="Q35" s="18" t="n">
        <v>1.3890264</v>
      </c>
      <c r="R35" s="20" t="n">
        <v>0.70505945</v>
      </c>
    </row>
    <row r="36" spans="1:18">
      <c r="A36" s="15" t="s">
        <v>378</v>
      </c>
      <c r="B36" s="17" t="n">
        <v>3404</v>
      </c>
      <c r="C36" s="18">
        <f>(2967.0/B36*100)</f>
        <v/>
      </c>
      <c r="D36" s="19" t="n">
        <v>437</v>
      </c>
      <c r="E36" s="18" t="n">
        <v>31.74316172</v>
      </c>
      <c r="F36" s="20" t="n">
        <v>2.98592786</v>
      </c>
      <c r="G36" s="18" t="n">
        <v>66.37989535</v>
      </c>
      <c r="H36" s="20" t="n">
        <v>2.94514585</v>
      </c>
      <c r="I36" s="18" t="s">
        <v>349</v>
      </c>
      <c r="J36" s="20" t="s">
        <v>349</v>
      </c>
      <c r="K36" s="18" t="n">
        <v>0.30126605</v>
      </c>
      <c r="L36" s="20" t="n">
        <v>0.30371274</v>
      </c>
      <c r="M36" s="18" t="n">
        <v>0</v>
      </c>
      <c r="N36" s="20" t="n">
        <v>0</v>
      </c>
      <c r="O36" s="18" t="n">
        <v>0</v>
      </c>
      <c r="P36" s="20" t="n">
        <v>0</v>
      </c>
      <c r="Q36" s="18" t="n">
        <v>1.57567688</v>
      </c>
      <c r="R36" s="20" t="n">
        <v>0.76226196</v>
      </c>
    </row>
    <row r="37" spans="1:18">
      <c r="A37" s="15" t="s">
        <v>379</v>
      </c>
      <c r="B37" s="17" t="n">
        <v>2731</v>
      </c>
      <c r="C37" s="18">
        <f>(2402.0/B37*100)</f>
        <v/>
      </c>
      <c r="D37" s="19" t="n">
        <v>329</v>
      </c>
      <c r="E37" s="18" t="n">
        <v>20.99530026</v>
      </c>
      <c r="F37" s="20" t="n">
        <v>2.1076376</v>
      </c>
      <c r="G37" s="18" t="n">
        <v>74.20620373</v>
      </c>
      <c r="H37" s="20" t="n">
        <v>2.27641041</v>
      </c>
      <c r="I37" s="18" t="s">
        <v>349</v>
      </c>
      <c r="J37" s="20" t="s">
        <v>349</v>
      </c>
      <c r="K37" s="18" t="n">
        <v>1.24188229</v>
      </c>
      <c r="L37" s="20" t="n">
        <v>0.6238559299999999</v>
      </c>
      <c r="M37" s="18" t="n">
        <v>0</v>
      </c>
      <c r="N37" s="20" t="n">
        <v>0</v>
      </c>
      <c r="O37" s="18" t="n">
        <v>0</v>
      </c>
      <c r="P37" s="20" t="n">
        <v>0</v>
      </c>
      <c r="Q37" s="18" t="n">
        <v>3.55661371</v>
      </c>
      <c r="R37" s="20" t="n">
        <v>1.07115019</v>
      </c>
    </row>
    <row r="38" spans="1:18">
      <c r="A38" s="15" t="s">
        <v>380</v>
      </c>
      <c r="B38" s="17" t="n">
        <v>2807</v>
      </c>
      <c r="C38" s="18">
        <f>(2358.0/B38*100)</f>
        <v/>
      </c>
      <c r="D38" s="19" t="n">
        <v>449</v>
      </c>
      <c r="E38" s="18" t="n">
        <v>26.0887355</v>
      </c>
      <c r="F38" s="20" t="n">
        <v>2.66167717</v>
      </c>
      <c r="G38" s="18" t="n">
        <v>71.31876334</v>
      </c>
      <c r="H38" s="20" t="n">
        <v>2.40306968</v>
      </c>
      <c r="I38" s="18" t="s">
        <v>349</v>
      </c>
      <c r="J38" s="20" t="s">
        <v>349</v>
      </c>
      <c r="K38" s="18" t="n">
        <v>0.43785248</v>
      </c>
      <c r="L38" s="20" t="n">
        <v>0.31703281</v>
      </c>
      <c r="M38" s="18" t="n">
        <v>0.30999575</v>
      </c>
      <c r="N38" s="20" t="n">
        <v>0.31280908</v>
      </c>
      <c r="O38" s="18" t="n">
        <v>0</v>
      </c>
      <c r="P38" s="20" t="n">
        <v>0</v>
      </c>
      <c r="Q38" s="18" t="n">
        <v>1.84465293</v>
      </c>
      <c r="R38" s="20" t="n">
        <v>0.94610142</v>
      </c>
    </row>
    <row r="39" spans="1:18">
      <c r="A39" s="15" t="s">
        <v>381</v>
      </c>
      <c r="B39" s="17" t="n">
        <v>2938</v>
      </c>
      <c r="C39" s="18">
        <f>(2583.0/B39*100)</f>
        <v/>
      </c>
      <c r="D39" s="19" t="n">
        <v>355</v>
      </c>
      <c r="E39" s="18" t="n">
        <v>52.09197092</v>
      </c>
      <c r="F39" s="20" t="n">
        <v>2.5772167</v>
      </c>
      <c r="G39" s="18" t="n">
        <v>45.91531349</v>
      </c>
      <c r="H39" s="20" t="n">
        <v>2.4633062</v>
      </c>
      <c r="I39" s="18" t="s">
        <v>349</v>
      </c>
      <c r="J39" s="20" t="s">
        <v>349</v>
      </c>
      <c r="K39" s="18" t="n">
        <v>0.62783811</v>
      </c>
      <c r="L39" s="20" t="n">
        <v>0.37377965</v>
      </c>
      <c r="M39" s="18" t="n">
        <v>0</v>
      </c>
      <c r="N39" s="20" t="n">
        <v>0</v>
      </c>
      <c r="O39" s="18" t="n">
        <v>0</v>
      </c>
      <c r="P39" s="20" t="n">
        <v>0</v>
      </c>
      <c r="Q39" s="18" t="n">
        <v>1.36487749</v>
      </c>
      <c r="R39" s="20" t="n">
        <v>0.50608084</v>
      </c>
    </row>
    <row r="40" spans="1:18">
      <c r="A40" s="15" t="s">
        <v>382</v>
      </c>
      <c r="B40" s="17" t="n">
        <v>6922</v>
      </c>
      <c r="C40" s="18">
        <f>(6087.0/B40*100)</f>
        <v/>
      </c>
      <c r="D40" s="19" t="n">
        <v>835</v>
      </c>
      <c r="E40" s="18" t="n">
        <v>23.74228728</v>
      </c>
      <c r="F40" s="20" t="n">
        <v>2.34493407</v>
      </c>
      <c r="G40" s="18" t="n">
        <v>74.69517721</v>
      </c>
      <c r="H40" s="20" t="n">
        <v>2.25885109</v>
      </c>
      <c r="I40" s="18" t="s">
        <v>349</v>
      </c>
      <c r="J40" s="20" t="s">
        <v>349</v>
      </c>
      <c r="K40" s="18" t="n">
        <v>0.62800504</v>
      </c>
      <c r="L40" s="20" t="n">
        <v>0.10417003</v>
      </c>
      <c r="M40" s="18" t="n">
        <v>0</v>
      </c>
      <c r="N40" s="20" t="n">
        <v>0</v>
      </c>
      <c r="O40" s="18" t="n">
        <v>0</v>
      </c>
      <c r="P40" s="20" t="n">
        <v>0</v>
      </c>
      <c r="Q40" s="18" t="n">
        <v>0.9345304800000001</v>
      </c>
      <c r="R40" s="20" t="n">
        <v>0.5526761</v>
      </c>
    </row>
    <row r="41" spans="1:18">
      <c r="A41" s="15" t="s">
        <v>383</v>
      </c>
      <c r="B41" s="17" t="n">
        <v>2854</v>
      </c>
      <c r="C41" s="18">
        <f>(2500.0/B41*100)</f>
        <v/>
      </c>
      <c r="D41" s="19" t="n">
        <v>354</v>
      </c>
      <c r="E41" s="18" t="n">
        <v>28.98725899</v>
      </c>
      <c r="F41" s="20" t="n">
        <v>2.93285542</v>
      </c>
      <c r="G41" s="18" t="n">
        <v>69.85804908999999</v>
      </c>
      <c r="H41" s="20" t="n">
        <v>3.03912635</v>
      </c>
      <c r="I41" s="18" t="s">
        <v>349</v>
      </c>
      <c r="J41" s="20" t="s">
        <v>349</v>
      </c>
      <c r="K41" s="18" t="n">
        <v>0.31917587</v>
      </c>
      <c r="L41" s="20" t="n">
        <v>0.28473801</v>
      </c>
      <c r="M41" s="18" t="n">
        <v>0</v>
      </c>
      <c r="N41" s="20" t="n">
        <v>0</v>
      </c>
      <c r="O41" s="18" t="n">
        <v>0</v>
      </c>
      <c r="P41" s="20" t="n">
        <v>0</v>
      </c>
      <c r="Q41" s="18" t="n">
        <v>0.83551605</v>
      </c>
      <c r="R41" s="20" t="n">
        <v>0.49585677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(10825.0/B46*100)</f>
        <v/>
      </c>
      <c r="D46" s="19" t="n">
        <v>1248</v>
      </c>
      <c r="E46" s="18" t="n">
        <v>55.86280365</v>
      </c>
      <c r="F46" s="20" t="n">
        <v>1.821955</v>
      </c>
      <c r="G46" s="18" t="n">
        <v>37.12294679</v>
      </c>
      <c r="H46" s="20" t="n">
        <v>1.56027112</v>
      </c>
      <c r="I46" s="18" t="s">
        <v>349</v>
      </c>
      <c r="J46" s="20" t="s">
        <v>349</v>
      </c>
      <c r="K46" s="18" t="n">
        <v>1.45482858</v>
      </c>
      <c r="L46" s="20" t="n">
        <v>0.44607498</v>
      </c>
      <c r="M46" s="18" t="n">
        <v>0</v>
      </c>
      <c r="N46" s="20" t="n">
        <v>0</v>
      </c>
      <c r="O46" s="18" t="n">
        <v>0</v>
      </c>
      <c r="P46" s="20" t="n">
        <v>0</v>
      </c>
      <c r="Q46" s="18" t="n">
        <v>5.55942098</v>
      </c>
      <c r="R46" s="20" t="n">
        <v>0.99114713</v>
      </c>
    </row>
    <row r="47" spans="1:18">
      <c r="A47" s="15" t="s">
        <v>389</v>
      </c>
      <c r="B47" s="17" t="n">
        <v>2823</v>
      </c>
      <c r="C47" s="18">
        <f>(2484.0/B47*100)</f>
        <v/>
      </c>
      <c r="D47" s="19" t="n">
        <v>339</v>
      </c>
      <c r="E47" s="18" t="n">
        <v>36.63402038</v>
      </c>
      <c r="F47" s="20" t="n">
        <v>3.04724383</v>
      </c>
      <c r="G47" s="18" t="n">
        <v>56.0485852</v>
      </c>
      <c r="H47" s="20" t="n">
        <v>3.08552027</v>
      </c>
      <c r="I47" s="18" t="s">
        <v>349</v>
      </c>
      <c r="J47" s="20" t="s">
        <v>349</v>
      </c>
      <c r="K47" s="18" t="n">
        <v>0.85846919</v>
      </c>
      <c r="L47" s="20" t="n">
        <v>0.50196465</v>
      </c>
      <c r="M47" s="18" t="n">
        <v>0</v>
      </c>
      <c r="N47" s="20" t="n">
        <v>0</v>
      </c>
      <c r="O47" s="18" t="n">
        <v>0</v>
      </c>
      <c r="P47" s="20" t="n">
        <v>0</v>
      </c>
      <c r="Q47" s="18" t="n">
        <v>6.45892523</v>
      </c>
      <c r="R47" s="20" t="n">
        <v>1.48373172</v>
      </c>
    </row>
    <row r="48" spans="1:18">
      <c r="A48" s="15" t="s">
        <v>390</v>
      </c>
      <c r="B48" s="17" t="n">
        <v>4682</v>
      </c>
      <c r="C48" s="18">
        <f>(4111.0/B48*100)</f>
        <v/>
      </c>
      <c r="D48" s="19" t="n">
        <v>571</v>
      </c>
      <c r="E48" s="18" t="n">
        <v>28.8769229</v>
      </c>
      <c r="F48" s="20" t="n">
        <v>2.55730096</v>
      </c>
      <c r="G48" s="18" t="n">
        <v>68.504672</v>
      </c>
      <c r="H48" s="20" t="n">
        <v>2.53768742</v>
      </c>
      <c r="I48" s="18" t="s">
        <v>349</v>
      </c>
      <c r="J48" s="20" t="s">
        <v>349</v>
      </c>
      <c r="K48" s="18" t="n">
        <v>0.966509</v>
      </c>
      <c r="L48" s="20" t="n">
        <v>0.92145468</v>
      </c>
      <c r="M48" s="18" t="n">
        <v>0.35083809</v>
      </c>
      <c r="N48" s="20" t="n">
        <v>0.33784912</v>
      </c>
      <c r="O48" s="18" t="n">
        <v>0</v>
      </c>
      <c r="P48" s="20" t="n">
        <v>0</v>
      </c>
      <c r="Q48" s="18" t="n">
        <v>1.30105801</v>
      </c>
      <c r="R48" s="20" t="n">
        <v>0.6371108599999999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(5431.0/B50*100)</f>
        <v/>
      </c>
      <c r="D50" s="19" t="n">
        <v>727</v>
      </c>
      <c r="E50" s="18" t="n">
        <v>65.94825217</v>
      </c>
      <c r="F50" s="20" t="n">
        <v>1.92944563</v>
      </c>
      <c r="G50" s="18" t="n">
        <v>30.82207331</v>
      </c>
      <c r="H50" s="20" t="n">
        <v>1.88392431</v>
      </c>
      <c r="I50" s="18" t="s">
        <v>349</v>
      </c>
      <c r="J50" s="20" t="s">
        <v>349</v>
      </c>
      <c r="K50" s="18" t="n">
        <v>1.00992071</v>
      </c>
      <c r="L50" s="20" t="n">
        <v>0.48545046</v>
      </c>
      <c r="M50" s="18" t="n">
        <v>1.20216481</v>
      </c>
      <c r="N50" s="20" t="n">
        <v>0.29252578</v>
      </c>
      <c r="O50" s="18" t="n">
        <v>0</v>
      </c>
      <c r="P50" s="20" t="n">
        <v>0</v>
      </c>
      <c r="Q50" s="18" t="n">
        <v>1.017589</v>
      </c>
      <c r="R50" s="20" t="n">
        <v>0.44659533</v>
      </c>
    </row>
    <row r="51" spans="1:18">
      <c r="A51" s="15" t="s">
        <v>393</v>
      </c>
      <c r="B51" s="17" t="n">
        <v>3494</v>
      </c>
      <c r="C51" s="18">
        <f>(3137.0/B51*100)</f>
        <v/>
      </c>
      <c r="D51" s="19" t="n">
        <v>357</v>
      </c>
      <c r="E51" s="18" t="n">
        <v>54.07608095</v>
      </c>
      <c r="F51" s="20" t="n">
        <v>2.42258923</v>
      </c>
      <c r="G51" s="18" t="n">
        <v>41.42523024</v>
      </c>
      <c r="H51" s="20" t="n">
        <v>2.41595951</v>
      </c>
      <c r="I51" s="18" t="s">
        <v>349</v>
      </c>
      <c r="J51" s="20" t="s">
        <v>349</v>
      </c>
      <c r="K51" s="18" t="n">
        <v>1.16523485</v>
      </c>
      <c r="L51" s="20" t="n">
        <v>0.57814701</v>
      </c>
      <c r="M51" s="18" t="n">
        <v>0.52216475</v>
      </c>
      <c r="N51" s="20" t="n">
        <v>0.48385526</v>
      </c>
      <c r="O51" s="18" t="n">
        <v>0</v>
      </c>
      <c r="P51" s="20" t="n">
        <v>0</v>
      </c>
      <c r="Q51" s="18" t="n">
        <v>2.81128921</v>
      </c>
      <c r="R51" s="20" t="n">
        <v>1.07040184</v>
      </c>
    </row>
    <row r="52" spans="1:18">
      <c r="A52" s="15" t="s">
        <v>394</v>
      </c>
      <c r="B52" s="17" t="n">
        <v>3013</v>
      </c>
      <c r="C52" s="18">
        <f>(2646.0/B52*100)</f>
        <v/>
      </c>
      <c r="D52" s="19" t="n">
        <v>367</v>
      </c>
      <c r="E52" s="18" t="n">
        <v>30.74477314</v>
      </c>
      <c r="F52" s="20" t="n">
        <v>2.30811007</v>
      </c>
      <c r="G52" s="18" t="n">
        <v>66.94146055</v>
      </c>
      <c r="H52" s="20" t="n">
        <v>2.34464902</v>
      </c>
      <c r="I52" s="18" t="s">
        <v>349</v>
      </c>
      <c r="J52" s="20" t="s">
        <v>349</v>
      </c>
      <c r="K52" s="18" t="n">
        <v>0</v>
      </c>
      <c r="L52" s="20" t="n">
        <v>0</v>
      </c>
      <c r="M52" s="18" t="n">
        <v>0</v>
      </c>
      <c r="N52" s="20" t="n">
        <v>0</v>
      </c>
      <c r="O52" s="18" t="n">
        <v>0</v>
      </c>
      <c r="P52" s="20" t="n">
        <v>0</v>
      </c>
      <c r="Q52" s="18" t="n">
        <v>2.31376631</v>
      </c>
      <c r="R52" s="20" t="n">
        <v>0.64371871</v>
      </c>
    </row>
    <row r="53" spans="1:18">
      <c r="A53" s="15" t="s">
        <v>395</v>
      </c>
      <c r="B53" s="17" t="n">
        <v>2760</v>
      </c>
      <c r="C53" s="18">
        <f>(2412.0/B53*100)</f>
        <v/>
      </c>
      <c r="D53" s="19" t="n">
        <v>348</v>
      </c>
      <c r="E53" s="18" t="n">
        <v>34.70805388</v>
      </c>
      <c r="F53" s="20" t="n">
        <v>2.55053021</v>
      </c>
      <c r="G53" s="18" t="n">
        <v>62.86552052</v>
      </c>
      <c r="H53" s="20" t="n">
        <v>2.63697786</v>
      </c>
      <c r="I53" s="18" t="s">
        <v>349</v>
      </c>
      <c r="J53" s="20" t="s">
        <v>349</v>
      </c>
      <c r="K53" s="18" t="n">
        <v>0.24895349</v>
      </c>
      <c r="L53" s="20" t="n">
        <v>0.24849784</v>
      </c>
      <c r="M53" s="18" t="n">
        <v>0</v>
      </c>
      <c r="N53" s="20" t="n">
        <v>0</v>
      </c>
      <c r="O53" s="18" t="n">
        <v>0</v>
      </c>
      <c r="P53" s="20" t="n">
        <v>0</v>
      </c>
      <c r="Q53" s="18" t="n">
        <v>2.17747211</v>
      </c>
      <c r="R53" s="20" t="n">
        <v>0.86621766</v>
      </c>
    </row>
    <row r="54" spans="1:18">
      <c r="A54" s="15" t="s">
        <v>396</v>
      </c>
      <c r="B54" s="17" t="n">
        <v>2474</v>
      </c>
      <c r="C54" s="18">
        <f>(2042.0/B54*100)</f>
        <v/>
      </c>
      <c r="D54" s="19" t="n">
        <v>432</v>
      </c>
      <c r="E54" s="18" t="n">
        <v>69.95062227</v>
      </c>
      <c r="F54" s="20" t="n">
        <v>2.65649638</v>
      </c>
      <c r="G54" s="18" t="n">
        <v>17.00762556</v>
      </c>
      <c r="H54" s="20" t="n">
        <v>1.76324284</v>
      </c>
      <c r="I54" s="18" t="s">
        <v>349</v>
      </c>
      <c r="J54" s="20" t="s">
        <v>349</v>
      </c>
      <c r="K54" s="18" t="n">
        <v>8.627375199999999</v>
      </c>
      <c r="L54" s="20" t="n">
        <v>1.33488843</v>
      </c>
      <c r="M54" s="18" t="n">
        <v>1.27738327</v>
      </c>
      <c r="N54" s="20" t="n">
        <v>1.38583985</v>
      </c>
      <c r="O54" s="18" t="n">
        <v>0</v>
      </c>
      <c r="P54" s="20" t="n">
        <v>0</v>
      </c>
      <c r="Q54" s="18" t="n">
        <v>3.13699371</v>
      </c>
      <c r="R54" s="20" t="n">
        <v>0.98759708</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(2339.0/B56*100)</f>
        <v/>
      </c>
      <c r="D56" s="19" t="n">
        <v>336</v>
      </c>
      <c r="E56" s="18" t="n">
        <v>24.06759014</v>
      </c>
      <c r="F56" s="20" t="n">
        <v>2.25466081</v>
      </c>
      <c r="G56" s="18" t="n">
        <v>75.53478699</v>
      </c>
      <c r="H56" s="20" t="n">
        <v>2.28514617</v>
      </c>
      <c r="I56" s="18" t="s">
        <v>349</v>
      </c>
      <c r="J56" s="20" t="s">
        <v>349</v>
      </c>
      <c r="K56" s="18" t="n">
        <v>0</v>
      </c>
      <c r="L56" s="20" t="n">
        <v>0</v>
      </c>
      <c r="M56" s="18" t="n">
        <v>0</v>
      </c>
      <c r="N56" s="20" t="n">
        <v>0</v>
      </c>
      <c r="O56" s="18" t="n">
        <v>0</v>
      </c>
      <c r="P56" s="20" t="n">
        <v>0</v>
      </c>
      <c r="Q56" s="18" t="n">
        <v>0.39762287</v>
      </c>
      <c r="R56" s="20" t="n">
        <v>0.39352715</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(2800.0/B61*100)</f>
        <v/>
      </c>
      <c r="D61" s="19" t="n">
        <v>401</v>
      </c>
      <c r="E61" s="18" t="n">
        <v>48.04606541</v>
      </c>
      <c r="F61" s="20" t="n">
        <v>2.98615943</v>
      </c>
      <c r="G61" s="18" t="n">
        <v>50.35792545</v>
      </c>
      <c r="H61" s="20" t="n">
        <v>3.00252329</v>
      </c>
      <c r="I61" s="18" t="s">
        <v>349</v>
      </c>
      <c r="J61" s="20" t="s">
        <v>349</v>
      </c>
      <c r="K61" s="18" t="n">
        <v>0.72167382</v>
      </c>
      <c r="L61" s="20" t="n">
        <v>0.70681778</v>
      </c>
      <c r="M61" s="18" t="n">
        <v>0</v>
      </c>
      <c r="N61" s="20" t="n">
        <v>0</v>
      </c>
      <c r="O61" s="18" t="n">
        <v>0</v>
      </c>
      <c r="P61" s="20" t="n">
        <v>0</v>
      </c>
      <c r="Q61" s="18" t="n">
        <v>0.87433532</v>
      </c>
      <c r="R61" s="20" t="n">
        <v>0.46724141</v>
      </c>
    </row>
    <row r="62" spans="1:18">
      <c r="A62" s="15" t="s">
        <v>404</v>
      </c>
      <c r="B62" s="17" t="n">
        <v>2230</v>
      </c>
      <c r="C62" s="18">
        <f>(1982.0/B62*100)</f>
        <v/>
      </c>
      <c r="D62" s="19" t="n">
        <v>248</v>
      </c>
      <c r="E62" s="18" t="n">
        <v>19.75779961</v>
      </c>
      <c r="F62" s="20" t="n">
        <v>2.5477803</v>
      </c>
      <c r="G62" s="18" t="n">
        <v>79.41607998000001</v>
      </c>
      <c r="H62" s="20" t="n">
        <v>2.58114048</v>
      </c>
      <c r="I62" s="18" t="s">
        <v>349</v>
      </c>
      <c r="J62" s="20" t="s">
        <v>349</v>
      </c>
      <c r="K62" s="18" t="n">
        <v>0.40015132</v>
      </c>
      <c r="L62" s="20" t="n">
        <v>0.40183372</v>
      </c>
      <c r="M62" s="18" t="n">
        <v>0</v>
      </c>
      <c r="N62" s="20" t="n">
        <v>0</v>
      </c>
      <c r="O62" s="18" t="n">
        <v>0</v>
      </c>
      <c r="P62" s="20" t="n">
        <v>0</v>
      </c>
      <c r="Q62" s="18" t="n">
        <v>0.42596908</v>
      </c>
      <c r="R62" s="20" t="n">
        <v>0.42714327</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(2443.0/B66*100)</f>
        <v/>
      </c>
      <c r="D66" s="19" t="n">
        <v>328</v>
      </c>
      <c r="E66" s="18" t="n">
        <v>33.77123232</v>
      </c>
      <c r="F66" s="20" t="n">
        <v>2.47538782</v>
      </c>
      <c r="G66" s="18" t="n">
        <v>57.48118525</v>
      </c>
      <c r="H66" s="20" t="n">
        <v>2.57299895</v>
      </c>
      <c r="I66" s="18" t="s">
        <v>349</v>
      </c>
      <c r="J66" s="20" t="s">
        <v>349</v>
      </c>
      <c r="K66" s="18" t="n">
        <v>2.96978188</v>
      </c>
      <c r="L66" s="20" t="n">
        <v>1.02119545</v>
      </c>
      <c r="M66" s="18" t="n">
        <v>0.86737979</v>
      </c>
      <c r="N66" s="20" t="n">
        <v>0.50534966</v>
      </c>
      <c r="O66" s="18" t="n">
        <v>0</v>
      </c>
      <c r="P66" s="20" t="n">
        <v>0</v>
      </c>
      <c r="Q66" s="18" t="n">
        <v>4.91042076</v>
      </c>
      <c r="R66" s="20" t="n">
        <v>1.0429542</v>
      </c>
    </row>
    <row r="67" spans="1:18">
      <c r="A67" s="15" t="s">
        <v>409</v>
      </c>
      <c r="B67" s="17" t="n">
        <v>3460</v>
      </c>
      <c r="C67" s="18">
        <f>(3084.0/B67*100)</f>
        <v/>
      </c>
      <c r="D67" s="19" t="n">
        <v>376</v>
      </c>
      <c r="E67" s="18" t="n">
        <v>59.63657926</v>
      </c>
      <c r="F67" s="20" t="n">
        <v>2.76421538</v>
      </c>
      <c r="G67" s="18" t="n">
        <v>37.40629087</v>
      </c>
      <c r="H67" s="20" t="n">
        <v>2.73149678</v>
      </c>
      <c r="I67" s="18" t="s">
        <v>349</v>
      </c>
      <c r="J67" s="20" t="s">
        <v>349</v>
      </c>
      <c r="K67" s="18" t="n">
        <v>0</v>
      </c>
      <c r="L67" s="20" t="n">
        <v>0</v>
      </c>
      <c r="M67" s="18" t="n">
        <v>0.20058748</v>
      </c>
      <c r="N67" s="20" t="n">
        <v>0.19998854</v>
      </c>
      <c r="O67" s="18" t="n">
        <v>0</v>
      </c>
      <c r="P67" s="20" t="n">
        <v>0</v>
      </c>
      <c r="Q67" s="18" t="n">
        <v>2.75654239</v>
      </c>
      <c r="R67" s="20" t="n">
        <v>0.79788979</v>
      </c>
    </row>
    <row r="68" spans="1:18">
      <c r="A68" s="15" t="s">
        <v>410</v>
      </c>
      <c r="B68" s="17" t="n">
        <v>6034</v>
      </c>
      <c r="C68" s="18">
        <f>(5041.0/B68*100)</f>
        <v/>
      </c>
      <c r="D68" s="19" t="n">
        <v>993</v>
      </c>
      <c r="E68" s="18" t="n">
        <v>47.96323054</v>
      </c>
      <c r="F68" s="20" t="n">
        <v>1.52748958</v>
      </c>
      <c r="G68" s="18" t="n">
        <v>48.34915789</v>
      </c>
      <c r="H68" s="20" t="n">
        <v>1.59032928</v>
      </c>
      <c r="I68" s="18" t="s">
        <v>349</v>
      </c>
      <c r="J68" s="20" t="s">
        <v>349</v>
      </c>
      <c r="K68" s="18" t="n">
        <v>2.50336528</v>
      </c>
      <c r="L68" s="20" t="n">
        <v>0.46956621</v>
      </c>
      <c r="M68" s="18" t="n">
        <v>0</v>
      </c>
      <c r="N68" s="20" t="n">
        <v>0</v>
      </c>
      <c r="O68" s="18" t="n">
        <v>0</v>
      </c>
      <c r="P68" s="20" t="n">
        <v>0</v>
      </c>
      <c r="Q68" s="18" t="n">
        <v>1.1842463</v>
      </c>
      <c r="R68" s="20" t="n">
        <v>0.31520233</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(2760.0/B70*100)</f>
        <v/>
      </c>
      <c r="D70" s="19" t="n">
        <v>347</v>
      </c>
      <c r="E70" s="18" t="n">
        <v>26.85057809</v>
      </c>
      <c r="F70" s="20" t="n">
        <v>2.41294867</v>
      </c>
      <c r="G70" s="18" t="n">
        <v>71.14178578000001</v>
      </c>
      <c r="H70" s="20" t="n">
        <v>2.53901887</v>
      </c>
      <c r="I70" s="18" t="s">
        <v>349</v>
      </c>
      <c r="J70" s="20" t="s">
        <v>349</v>
      </c>
      <c r="K70" s="18" t="n">
        <v>0.22914089</v>
      </c>
      <c r="L70" s="20" t="n">
        <v>0.22643998</v>
      </c>
      <c r="M70" s="18" t="n">
        <v>0.34899048</v>
      </c>
      <c r="N70" s="20" t="n">
        <v>0.24459764</v>
      </c>
      <c r="O70" s="18" t="n">
        <v>0</v>
      </c>
      <c r="P70" s="20" t="n">
        <v>0</v>
      </c>
      <c r="Q70" s="18" t="n">
        <v>1.42950475</v>
      </c>
      <c r="R70" s="20" t="n">
        <v>0.55368863</v>
      </c>
    </row>
    <row r="71" spans="1:18">
      <c r="A71" s="15" t="s">
        <v>413</v>
      </c>
      <c r="B71" s="17" t="n">
        <v>2973</v>
      </c>
      <c r="C71" s="18">
        <f>(2595.0/B71*100)</f>
        <v/>
      </c>
      <c r="D71" s="19" t="n">
        <v>378</v>
      </c>
      <c r="E71" s="18" t="n">
        <v>22.38987817</v>
      </c>
      <c r="F71" s="20" t="n">
        <v>2.42696342</v>
      </c>
      <c r="G71" s="18" t="n">
        <v>76.52466832</v>
      </c>
      <c r="H71" s="20" t="n">
        <v>2.44236767</v>
      </c>
      <c r="I71" s="18" t="s">
        <v>349</v>
      </c>
      <c r="J71" s="20" t="s">
        <v>349</v>
      </c>
      <c r="K71" s="18" t="n">
        <v>0.30303168</v>
      </c>
      <c r="L71" s="20" t="n">
        <v>0.30139377</v>
      </c>
      <c r="M71" s="18" t="n">
        <v>0</v>
      </c>
      <c r="N71" s="20" t="n">
        <v>0</v>
      </c>
      <c r="O71" s="18" t="n">
        <v>0</v>
      </c>
      <c r="P71" s="20" t="n">
        <v>0</v>
      </c>
      <c r="Q71" s="18" t="n">
        <v>0.78242183</v>
      </c>
      <c r="R71" s="20" t="n">
        <v>0.45567246</v>
      </c>
    </row>
    <row r="72" spans="1:18">
      <c r="A72" s="15" t="s">
        <v>414</v>
      </c>
      <c r="B72" s="17" t="n">
        <v>3819</v>
      </c>
      <c r="C72" s="18">
        <f>(3329.0/B72*100)</f>
        <v/>
      </c>
      <c r="D72" s="19" t="n">
        <v>490</v>
      </c>
      <c r="E72" s="18" t="n">
        <v>22.24181838</v>
      </c>
      <c r="F72" s="20" t="n">
        <v>2.27928834</v>
      </c>
      <c r="G72" s="18" t="n">
        <v>76.15595293</v>
      </c>
      <c r="H72" s="20" t="n">
        <v>2.14936354</v>
      </c>
      <c r="I72" s="18" t="s">
        <v>349</v>
      </c>
      <c r="J72" s="20" t="s">
        <v>349</v>
      </c>
      <c r="K72" s="18" t="n">
        <v>0.22178018</v>
      </c>
      <c r="L72" s="20" t="n">
        <v>0.22147429</v>
      </c>
      <c r="M72" s="18" t="n">
        <v>0</v>
      </c>
      <c r="N72" s="20" t="n">
        <v>0</v>
      </c>
      <c r="O72" s="18" t="n">
        <v>0</v>
      </c>
      <c r="P72" s="20" t="n">
        <v>0</v>
      </c>
      <c r="Q72" s="18" t="n">
        <v>1.38044851</v>
      </c>
      <c r="R72" s="20" t="n">
        <v>0.53582186</v>
      </c>
    </row>
    <row r="73" spans="1:18">
      <c r="A73" s="15" t="s">
        <v>415</v>
      </c>
      <c r="B73" s="17" t="n">
        <v>4652</v>
      </c>
      <c r="C73" s="18">
        <f>(4113.0/B73*100)</f>
        <v/>
      </c>
      <c r="D73" s="19" t="n">
        <v>539</v>
      </c>
      <c r="E73" s="18" t="n">
        <v>49.79038652</v>
      </c>
      <c r="F73" s="20" t="n">
        <v>2.64481813</v>
      </c>
      <c r="G73" s="18" t="n">
        <v>49.71838529</v>
      </c>
      <c r="H73" s="20" t="n">
        <v>2.59308603</v>
      </c>
      <c r="I73" s="18" t="s">
        <v>349</v>
      </c>
      <c r="J73" s="20" t="s">
        <v>349</v>
      </c>
      <c r="K73" s="18" t="n">
        <v>0</v>
      </c>
      <c r="L73" s="20" t="n">
        <v>0</v>
      </c>
      <c r="M73" s="18" t="n">
        <v>0</v>
      </c>
      <c r="N73" s="20" t="n">
        <v>0</v>
      </c>
      <c r="O73" s="18" t="n">
        <v>0</v>
      </c>
      <c r="P73" s="20" t="n">
        <v>0</v>
      </c>
      <c r="Q73" s="18" t="n">
        <v>0.49122819</v>
      </c>
      <c r="R73" s="20" t="n">
        <v>0.34233955</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(2629.0/B75*100)</f>
        <v/>
      </c>
      <c r="D75" s="19" t="n">
        <v>340</v>
      </c>
      <c r="E75" s="18" t="n">
        <v>59.31015562</v>
      </c>
      <c r="F75" s="20" t="n">
        <v>2.66904194</v>
      </c>
      <c r="G75" s="18" t="n">
        <v>32.40271822</v>
      </c>
      <c r="H75" s="20" t="n">
        <v>2.66165146</v>
      </c>
      <c r="I75" s="18" t="s">
        <v>349</v>
      </c>
      <c r="J75" s="20" t="s">
        <v>349</v>
      </c>
      <c r="K75" s="18" t="n">
        <v>3.75739215</v>
      </c>
      <c r="L75" s="20" t="n">
        <v>1.06839129</v>
      </c>
      <c r="M75" s="18" t="n">
        <v>0</v>
      </c>
      <c r="N75" s="20" t="n">
        <v>0</v>
      </c>
      <c r="O75" s="18" t="n">
        <v>0</v>
      </c>
      <c r="P75" s="20" t="n">
        <v>0</v>
      </c>
      <c r="Q75" s="18" t="n">
        <v>4.529734</v>
      </c>
      <c r="R75" s="20" t="n">
        <v>1.09203887</v>
      </c>
    </row>
    <row r="76" spans="1:18">
      <c r="A76" s="15" t="s">
        <v>418</v>
      </c>
      <c r="B76" s="17" t="n">
        <v>7115</v>
      </c>
      <c r="C76" s="18">
        <f>(6235.0/B76*100)</f>
        <v/>
      </c>
      <c r="D76" s="19" t="n">
        <v>880</v>
      </c>
      <c r="E76" s="18" t="n">
        <v>45.36460527</v>
      </c>
      <c r="F76" s="20" t="n">
        <v>2.3569106</v>
      </c>
      <c r="G76" s="18" t="n">
        <v>53.51046389</v>
      </c>
      <c r="H76" s="20" t="n">
        <v>2.43667971</v>
      </c>
      <c r="I76" s="18" t="s">
        <v>349</v>
      </c>
      <c r="J76" s="20" t="s">
        <v>349</v>
      </c>
      <c r="K76" s="18" t="n">
        <v>0.45723912</v>
      </c>
      <c r="L76" s="20" t="n">
        <v>0.24021396</v>
      </c>
      <c r="M76" s="18" t="n">
        <v>0</v>
      </c>
      <c r="N76" s="20" t="n">
        <v>0</v>
      </c>
      <c r="O76" s="18" t="n">
        <v>0</v>
      </c>
      <c r="P76" s="20" t="n">
        <v>0</v>
      </c>
      <c r="Q76" s="18" t="n">
        <v>0.66769171</v>
      </c>
      <c r="R76" s="20" t="n">
        <v>0.2290634</v>
      </c>
    </row>
    <row r="77" spans="1:18">
      <c r="A77" s="15" t="s">
        <v>419</v>
      </c>
      <c r="B77" s="17" t="n">
        <v>3154</v>
      </c>
      <c r="C77" s="18">
        <f>(2774.0/B77*100)</f>
        <v/>
      </c>
      <c r="D77" s="19" t="n">
        <v>380</v>
      </c>
      <c r="E77" s="18" t="n">
        <v>52.46021431</v>
      </c>
      <c r="F77" s="20" t="n">
        <v>2.55354649</v>
      </c>
      <c r="G77" s="18" t="n">
        <v>39.8943704</v>
      </c>
      <c r="H77" s="20" t="n">
        <v>2.64086215</v>
      </c>
      <c r="I77" s="18" t="s">
        <v>349</v>
      </c>
      <c r="J77" s="20" t="s">
        <v>349</v>
      </c>
      <c r="K77" s="18" t="n">
        <v>2.08428738</v>
      </c>
      <c r="L77" s="20" t="n">
        <v>0.85238203</v>
      </c>
      <c r="M77" s="18" t="n">
        <v>2.10286046</v>
      </c>
      <c r="N77" s="20" t="n">
        <v>0.68460549</v>
      </c>
      <c r="O77" s="18" t="n">
        <v>0</v>
      </c>
      <c r="P77" s="20" t="n">
        <v>0</v>
      </c>
      <c r="Q77" s="18" t="n">
        <v>3.45826745</v>
      </c>
      <c r="R77" s="20" t="n">
        <v>0.96667194</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(4105.0/B81*100)</f>
        <v/>
      </c>
      <c r="D81" s="19" t="n">
        <v>593</v>
      </c>
      <c r="E81" s="18" t="n">
        <v>49.57216785</v>
      </c>
      <c r="F81" s="20" t="n">
        <v>2.5972302</v>
      </c>
      <c r="G81" s="18" t="n">
        <v>50.15226702</v>
      </c>
      <c r="H81" s="20" t="n">
        <v>2.59556323</v>
      </c>
      <c r="I81" s="18" t="s">
        <v>349</v>
      </c>
      <c r="J81" s="20" t="s">
        <v>349</v>
      </c>
      <c r="K81" s="18" t="n">
        <v>0</v>
      </c>
      <c r="L81" s="20" t="n">
        <v>0</v>
      </c>
      <c r="M81" s="18" t="n">
        <v>0</v>
      </c>
      <c r="N81" s="20" t="n">
        <v>0</v>
      </c>
      <c r="O81" s="18" t="n">
        <v>0</v>
      </c>
      <c r="P81" s="20" t="n">
        <v>0</v>
      </c>
      <c r="Q81" s="18" t="n">
        <v>0.27556513</v>
      </c>
      <c r="R81" s="20" t="n">
        <v>0.27292175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(6290.0/B7*100)</f>
        <v/>
      </c>
      <c r="D7" s="19" t="n">
        <v>873</v>
      </c>
      <c r="E7" s="18" t="n">
        <v>74.40770630999999</v>
      </c>
      <c r="F7" s="20" t="n">
        <v>1.37272477</v>
      </c>
      <c r="G7" s="18" t="n">
        <v>21.97938131</v>
      </c>
      <c r="H7" s="20" t="n">
        <v>1.34525619</v>
      </c>
      <c r="I7" s="18" t="s">
        <v>349</v>
      </c>
      <c r="J7" s="20" t="s">
        <v>349</v>
      </c>
      <c r="K7" s="18" t="n">
        <v>0.41889016</v>
      </c>
      <c r="L7" s="20" t="n">
        <v>0.164848</v>
      </c>
      <c r="M7" s="18" t="n">
        <v>0</v>
      </c>
      <c r="N7" s="20" t="n">
        <v>0</v>
      </c>
      <c r="O7" s="18" t="n">
        <v>0</v>
      </c>
      <c r="P7" s="20" t="n">
        <v>0</v>
      </c>
      <c r="Q7" s="18" t="n">
        <v>3.19402222</v>
      </c>
      <c r="R7" s="20" t="n">
        <v>0.6682412</v>
      </c>
    </row>
    <row r="8" spans="1:18">
      <c r="A8" s="15" t="s">
        <v>350</v>
      </c>
      <c r="B8" s="17" t="n">
        <v>3443</v>
      </c>
      <c r="C8" s="18">
        <f>(3011.0/B8*100)</f>
        <v/>
      </c>
      <c r="D8" s="19" t="n">
        <v>432</v>
      </c>
      <c r="E8" s="18" t="n">
        <v>61.29333523</v>
      </c>
      <c r="F8" s="20" t="n">
        <v>2.54164541</v>
      </c>
      <c r="G8" s="18" t="n">
        <v>30.9663249</v>
      </c>
      <c r="H8" s="20" t="n">
        <v>2.59774406</v>
      </c>
      <c r="I8" s="18" t="s">
        <v>349</v>
      </c>
      <c r="J8" s="20" t="s">
        <v>349</v>
      </c>
      <c r="K8" s="18" t="n">
        <v>1.22880841</v>
      </c>
      <c r="L8" s="20" t="n">
        <v>0.61598366</v>
      </c>
      <c r="M8" s="18" t="n">
        <v>0</v>
      </c>
      <c r="N8" s="20" t="n">
        <v>0</v>
      </c>
      <c r="O8" s="18" t="n">
        <v>0</v>
      </c>
      <c r="P8" s="20" t="n">
        <v>0</v>
      </c>
      <c r="Q8" s="18" t="n">
        <v>6.51153147</v>
      </c>
      <c r="R8" s="20" t="n">
        <v>1.25845086</v>
      </c>
    </row>
    <row r="9" spans="1:18">
      <c r="A9" s="15" t="s">
        <v>351</v>
      </c>
      <c r="B9" s="17" t="n">
        <v>4752</v>
      </c>
      <c r="C9" s="18">
        <f>(4167.0/B9*100)</f>
        <v/>
      </c>
      <c r="D9" s="19" t="n">
        <v>585</v>
      </c>
      <c r="E9" s="18" t="n">
        <v>55.40981521</v>
      </c>
      <c r="F9" s="20" t="n">
        <v>2.26038795</v>
      </c>
      <c r="G9" s="18" t="n">
        <v>36.0437034</v>
      </c>
      <c r="H9" s="20" t="n">
        <v>2.28618847</v>
      </c>
      <c r="I9" s="18" t="s">
        <v>349</v>
      </c>
      <c r="J9" s="20" t="s">
        <v>349</v>
      </c>
      <c r="K9" s="18" t="n">
        <v>1.67559497</v>
      </c>
      <c r="L9" s="20" t="n">
        <v>0.64615409</v>
      </c>
      <c r="M9" s="18" t="n">
        <v>0.37779369</v>
      </c>
      <c r="N9" s="20" t="n">
        <v>0.20469258</v>
      </c>
      <c r="O9" s="18" t="n">
        <v>0</v>
      </c>
      <c r="P9" s="20" t="n">
        <v>0</v>
      </c>
      <c r="Q9" s="18" t="n">
        <v>6.49309273</v>
      </c>
      <c r="R9" s="20" t="n">
        <v>1.33603707</v>
      </c>
    </row>
    <row r="10" spans="1:18">
      <c r="A10" s="15" t="s">
        <v>352</v>
      </c>
      <c r="B10" s="17" t="n">
        <v>10022</v>
      </c>
      <c r="C10" s="18">
        <f>(8758.0/B10*100)</f>
        <v/>
      </c>
      <c r="D10" s="19" t="n">
        <v>1264</v>
      </c>
      <c r="E10" s="18" t="n">
        <v>64.32070736999999</v>
      </c>
      <c r="F10" s="20" t="n">
        <v>1.78988146</v>
      </c>
      <c r="G10" s="18" t="n">
        <v>33.56593224</v>
      </c>
      <c r="H10" s="20" t="n">
        <v>1.83223529</v>
      </c>
      <c r="I10" s="18" t="s">
        <v>349</v>
      </c>
      <c r="J10" s="20" t="s">
        <v>349</v>
      </c>
      <c r="K10" s="18" t="n">
        <v>0.21797332</v>
      </c>
      <c r="L10" s="20" t="n">
        <v>0.10204632</v>
      </c>
      <c r="M10" s="18" t="n">
        <v>0.01093939</v>
      </c>
      <c r="N10" s="20" t="n">
        <v>0.01092161</v>
      </c>
      <c r="O10" s="18" t="n">
        <v>0</v>
      </c>
      <c r="P10" s="20" t="n">
        <v>0</v>
      </c>
      <c r="Q10" s="18" t="n">
        <v>1.88444768</v>
      </c>
      <c r="R10" s="20" t="n">
        <v>0.51699255</v>
      </c>
    </row>
    <row r="11" spans="1:18">
      <c r="A11" s="15" t="s">
        <v>353</v>
      </c>
      <c r="B11" s="17" t="n">
        <v>3500</v>
      </c>
      <c r="C11" s="18">
        <f>(3086.0/B11*100)</f>
        <v/>
      </c>
      <c r="D11" s="19" t="n">
        <v>414</v>
      </c>
      <c r="E11" s="18" t="n">
        <v>74.06210230000001</v>
      </c>
      <c r="F11" s="20" t="n">
        <v>2.43267137</v>
      </c>
      <c r="G11" s="18" t="n">
        <v>7.79596287</v>
      </c>
      <c r="H11" s="20" t="n">
        <v>1.17241911</v>
      </c>
      <c r="I11" s="18" t="s">
        <v>349</v>
      </c>
      <c r="J11" s="20" t="s">
        <v>349</v>
      </c>
      <c r="K11" s="18" t="n">
        <v>1.81274723</v>
      </c>
      <c r="L11" s="20" t="n">
        <v>0.47037455</v>
      </c>
      <c r="M11" s="18" t="n">
        <v>0</v>
      </c>
      <c r="N11" s="20" t="n">
        <v>0</v>
      </c>
      <c r="O11" s="18" t="n">
        <v>0</v>
      </c>
      <c r="P11" s="20" t="n">
        <v>0</v>
      </c>
      <c r="Q11" s="18" t="n">
        <v>16.32918759</v>
      </c>
      <c r="R11" s="20" t="n">
        <v>2.15004548</v>
      </c>
    </row>
    <row r="12" spans="1:18">
      <c r="A12" s="15" t="s">
        <v>354</v>
      </c>
      <c r="B12" s="17" t="n">
        <v>3422</v>
      </c>
      <c r="C12" s="18">
        <f>(3037.0/B12*100)</f>
        <v/>
      </c>
      <c r="D12" s="19" t="n">
        <v>385</v>
      </c>
      <c r="E12" s="18" t="n">
        <v>63.5041782</v>
      </c>
      <c r="F12" s="20" t="n">
        <v>2.40790715</v>
      </c>
      <c r="G12" s="18" t="n">
        <v>28.85022945</v>
      </c>
      <c r="H12" s="20" t="n">
        <v>2.05586825</v>
      </c>
      <c r="I12" s="18" t="s">
        <v>349</v>
      </c>
      <c r="J12" s="20" t="s">
        <v>349</v>
      </c>
      <c r="K12" s="18" t="n">
        <v>0.4777569</v>
      </c>
      <c r="L12" s="20" t="n">
        <v>0.45373653</v>
      </c>
      <c r="M12" s="18" t="n">
        <v>0</v>
      </c>
      <c r="N12" s="20" t="n">
        <v>0</v>
      </c>
      <c r="O12" s="18" t="n">
        <v>0</v>
      </c>
      <c r="P12" s="20" t="n">
        <v>0</v>
      </c>
      <c r="Q12" s="18" t="n">
        <v>7.16783545</v>
      </c>
      <c r="R12" s="20" t="n">
        <v>1.61842236</v>
      </c>
    </row>
    <row r="13" spans="1:18">
      <c r="A13" s="15" t="s">
        <v>355</v>
      </c>
      <c r="B13" s="17" t="n">
        <v>3602</v>
      </c>
      <c r="C13" s="18">
        <f>(3173.0/B13*100)</f>
        <v/>
      </c>
      <c r="D13" s="19" t="n">
        <v>429</v>
      </c>
      <c r="E13" s="18" t="n">
        <v>49.7225341</v>
      </c>
      <c r="F13" s="20" t="n">
        <v>2.58434648</v>
      </c>
      <c r="G13" s="18" t="n">
        <v>44.86066955</v>
      </c>
      <c r="H13" s="20" t="n">
        <v>2.53717386</v>
      </c>
      <c r="I13" s="18" t="s">
        <v>349</v>
      </c>
      <c r="J13" s="20" t="s">
        <v>349</v>
      </c>
      <c r="K13" s="18" t="n">
        <v>1.10800796</v>
      </c>
      <c r="L13" s="20" t="n">
        <v>0.58876576</v>
      </c>
      <c r="M13" s="18" t="n">
        <v>0</v>
      </c>
      <c r="N13" s="20" t="n">
        <v>0</v>
      </c>
      <c r="O13" s="18" t="n">
        <v>0</v>
      </c>
      <c r="P13" s="20" t="n">
        <v>0</v>
      </c>
      <c r="Q13" s="18" t="n">
        <v>4.30878838</v>
      </c>
      <c r="R13" s="20" t="n">
        <v>0.967956</v>
      </c>
    </row>
    <row r="14" spans="1:18">
      <c r="A14" s="15" t="s">
        <v>356</v>
      </c>
      <c r="B14" s="17" t="n">
        <v>2788</v>
      </c>
      <c r="C14" s="18">
        <f>(2458.0/B14*100)</f>
        <v/>
      </c>
      <c r="D14" s="19" t="n">
        <v>330</v>
      </c>
      <c r="E14" s="18" t="n">
        <v>52.24519679</v>
      </c>
      <c r="F14" s="20" t="n">
        <v>3.17398216</v>
      </c>
      <c r="G14" s="18" t="n">
        <v>43.60337176</v>
      </c>
      <c r="H14" s="20" t="n">
        <v>2.9463896</v>
      </c>
      <c r="I14" s="18" t="s">
        <v>349</v>
      </c>
      <c r="J14" s="20" t="s">
        <v>349</v>
      </c>
      <c r="K14" s="18" t="n">
        <v>0.24862832</v>
      </c>
      <c r="L14" s="20" t="n">
        <v>0.26438987</v>
      </c>
      <c r="M14" s="18" t="n">
        <v>0</v>
      </c>
      <c r="N14" s="20" t="n">
        <v>0</v>
      </c>
      <c r="O14" s="18" t="n">
        <v>0</v>
      </c>
      <c r="P14" s="20" t="n">
        <v>0</v>
      </c>
      <c r="Q14" s="18" t="n">
        <v>3.90280314</v>
      </c>
      <c r="R14" s="20" t="n">
        <v>1.05953843</v>
      </c>
    </row>
    <row r="15" spans="1:18">
      <c r="A15" s="15" t="s">
        <v>357</v>
      </c>
      <c r="B15" s="17" t="n">
        <v>2863</v>
      </c>
      <c r="C15" s="18">
        <f>(2519.0/B15*100)</f>
        <v/>
      </c>
      <c r="D15" s="19" t="n">
        <v>344</v>
      </c>
      <c r="E15" s="18" t="n">
        <v>52.2789313</v>
      </c>
      <c r="F15" s="20" t="n">
        <v>2.33840473</v>
      </c>
      <c r="G15" s="18" t="n">
        <v>44.65214431</v>
      </c>
      <c r="H15" s="20" t="n">
        <v>2.30033898</v>
      </c>
      <c r="I15" s="18" t="s">
        <v>349</v>
      </c>
      <c r="J15" s="20" t="s">
        <v>349</v>
      </c>
      <c r="K15" s="18" t="n">
        <v>0.64396717</v>
      </c>
      <c r="L15" s="20" t="n">
        <v>0.4647921</v>
      </c>
      <c r="M15" s="18" t="n">
        <v>0</v>
      </c>
      <c r="N15" s="20" t="n">
        <v>0</v>
      </c>
      <c r="O15" s="18" t="n">
        <v>0</v>
      </c>
      <c r="P15" s="20" t="n">
        <v>0</v>
      </c>
      <c r="Q15" s="18" t="n">
        <v>2.42495722</v>
      </c>
      <c r="R15" s="20" t="n">
        <v>0.88384151</v>
      </c>
    </row>
    <row r="16" spans="1:18">
      <c r="A16" s="15" t="s">
        <v>358</v>
      </c>
      <c r="B16" s="17" t="n">
        <v>3111</v>
      </c>
      <c r="C16" s="18">
        <f>(2742.0/B16*100)</f>
        <v/>
      </c>
      <c r="D16" s="19" t="n">
        <v>369</v>
      </c>
      <c r="E16" s="18" t="n">
        <v>54.30653851</v>
      </c>
      <c r="F16" s="20" t="n">
        <v>2.66506048</v>
      </c>
      <c r="G16" s="18" t="n">
        <v>37.50670062</v>
      </c>
      <c r="H16" s="20" t="n">
        <v>2.7309332</v>
      </c>
      <c r="I16" s="18" t="s">
        <v>349</v>
      </c>
      <c r="J16" s="20" t="s">
        <v>349</v>
      </c>
      <c r="K16" s="18" t="n">
        <v>1.42152189</v>
      </c>
      <c r="L16" s="20" t="n">
        <v>0.69739895</v>
      </c>
      <c r="M16" s="18" t="n">
        <v>0</v>
      </c>
      <c r="N16" s="20" t="n">
        <v>0</v>
      </c>
      <c r="O16" s="18" t="n">
        <v>0</v>
      </c>
      <c r="P16" s="20" t="n">
        <v>0</v>
      </c>
      <c r="Q16" s="18" t="n">
        <v>6.76523897</v>
      </c>
      <c r="R16" s="20" t="n">
        <v>1.37159584</v>
      </c>
    </row>
    <row r="17" spans="1:18">
      <c r="A17" s="15" t="s">
        <v>359</v>
      </c>
      <c r="B17" s="17" t="n">
        <v>3197</v>
      </c>
      <c r="C17" s="18">
        <f>(2818.0/B17*100)</f>
        <v/>
      </c>
      <c r="D17" s="19" t="n">
        <v>379</v>
      </c>
      <c r="E17" s="18" t="n">
        <v>56.19296177</v>
      </c>
      <c r="F17" s="20" t="n">
        <v>3.05703087</v>
      </c>
      <c r="G17" s="18" t="n">
        <v>37.98546461</v>
      </c>
      <c r="H17" s="20" t="n">
        <v>2.84855016</v>
      </c>
      <c r="I17" s="18" t="s">
        <v>349</v>
      </c>
      <c r="J17" s="20" t="s">
        <v>349</v>
      </c>
      <c r="K17" s="18" t="n">
        <v>0</v>
      </c>
      <c r="L17" s="20" t="n">
        <v>0</v>
      </c>
      <c r="M17" s="18" t="n">
        <v>0</v>
      </c>
      <c r="N17" s="20" t="n">
        <v>0</v>
      </c>
      <c r="O17" s="18" t="n">
        <v>0</v>
      </c>
      <c r="P17" s="20" t="n">
        <v>0</v>
      </c>
      <c r="Q17" s="18" t="n">
        <v>5.82157362</v>
      </c>
      <c r="R17" s="20" t="n">
        <v>1.19262616</v>
      </c>
    </row>
    <row r="18" spans="1:18">
      <c r="A18" s="15" t="s">
        <v>360</v>
      </c>
      <c r="B18" s="17" t="n">
        <v>2706</v>
      </c>
      <c r="C18" s="18">
        <f>(2385.0/B18*100)</f>
        <v/>
      </c>
      <c r="D18" s="19" t="n">
        <v>321</v>
      </c>
      <c r="E18" s="18" t="n">
        <v>63.63017887</v>
      </c>
      <c r="F18" s="20" t="n">
        <v>2.61939072</v>
      </c>
      <c r="G18" s="18" t="n">
        <v>28.48586365</v>
      </c>
      <c r="H18" s="20" t="n">
        <v>2.57406824</v>
      </c>
      <c r="I18" s="18" t="s">
        <v>349</v>
      </c>
      <c r="J18" s="20" t="s">
        <v>349</v>
      </c>
      <c r="K18" s="18" t="n">
        <v>0.94919652</v>
      </c>
      <c r="L18" s="20" t="n">
        <v>0.45565281</v>
      </c>
      <c r="M18" s="18" t="n">
        <v>0.18990188</v>
      </c>
      <c r="N18" s="20" t="n">
        <v>0.18984673</v>
      </c>
      <c r="O18" s="18" t="n">
        <v>0</v>
      </c>
      <c r="P18" s="20" t="n">
        <v>0</v>
      </c>
      <c r="Q18" s="18" t="n">
        <v>6.74485908</v>
      </c>
      <c r="R18" s="20" t="n">
        <v>1.41794265</v>
      </c>
    </row>
    <row r="19" spans="1:18">
      <c r="A19" s="15" t="s">
        <v>361</v>
      </c>
      <c r="B19" s="17" t="n">
        <v>2850</v>
      </c>
      <c r="C19" s="18">
        <f>(2528.0/B19*100)</f>
        <v/>
      </c>
      <c r="D19" s="19" t="n">
        <v>322</v>
      </c>
      <c r="E19" s="18" t="n">
        <v>49.86049344</v>
      </c>
      <c r="F19" s="20" t="n">
        <v>3.11100925</v>
      </c>
      <c r="G19" s="18" t="n">
        <v>36.94179772</v>
      </c>
      <c r="H19" s="20" t="n">
        <v>2.6986737</v>
      </c>
      <c r="I19" s="18" t="s">
        <v>349</v>
      </c>
      <c r="J19" s="20" t="s">
        <v>349</v>
      </c>
      <c r="K19" s="18" t="n">
        <v>0.82437973</v>
      </c>
      <c r="L19" s="20" t="n">
        <v>0.47979205</v>
      </c>
      <c r="M19" s="18" t="n">
        <v>0</v>
      </c>
      <c r="N19" s="20" t="n">
        <v>0</v>
      </c>
      <c r="O19" s="18" t="n">
        <v>0</v>
      </c>
      <c r="P19" s="20" t="n">
        <v>0</v>
      </c>
      <c r="Q19" s="18" t="n">
        <v>12.3733291</v>
      </c>
      <c r="R19" s="20" t="n">
        <v>2.2177073</v>
      </c>
    </row>
    <row r="20" spans="1:18">
      <c r="A20" s="15" t="s">
        <v>362</v>
      </c>
      <c r="B20" s="17" t="n">
        <v>1741</v>
      </c>
      <c r="C20" s="18">
        <f>(1530.0/B20*100)</f>
        <v/>
      </c>
      <c r="D20" s="19" t="n">
        <v>211</v>
      </c>
      <c r="E20" s="18" t="n">
        <v>59.37095152</v>
      </c>
      <c r="F20" s="20" t="n">
        <v>3.69151266</v>
      </c>
      <c r="G20" s="18" t="n">
        <v>25.05952531</v>
      </c>
      <c r="H20" s="20" t="n">
        <v>3.19086966</v>
      </c>
      <c r="I20" s="18" t="s">
        <v>349</v>
      </c>
      <c r="J20" s="20" t="s">
        <v>349</v>
      </c>
      <c r="K20" s="18" t="n">
        <v>2.65241937</v>
      </c>
      <c r="L20" s="20" t="n">
        <v>1.19346481</v>
      </c>
      <c r="M20" s="18" t="n">
        <v>0</v>
      </c>
      <c r="N20" s="20" t="n">
        <v>0</v>
      </c>
      <c r="O20" s="18" t="n">
        <v>0</v>
      </c>
      <c r="P20" s="20" t="n">
        <v>0</v>
      </c>
      <c r="Q20" s="18" t="n">
        <v>12.9171038</v>
      </c>
      <c r="R20" s="20" t="n">
        <v>2.0976801</v>
      </c>
    </row>
    <row r="21" spans="1:18">
      <c r="A21" s="15" t="s">
        <v>363</v>
      </c>
      <c r="B21" s="17" t="n">
        <v>2833</v>
      </c>
      <c r="C21" s="18">
        <f>(2378.0/B21*100)</f>
        <v/>
      </c>
      <c r="D21" s="19" t="n">
        <v>455</v>
      </c>
      <c r="E21" s="18" t="n">
        <v>80.98537128</v>
      </c>
      <c r="F21" s="20" t="n">
        <v>1.88540112</v>
      </c>
      <c r="G21" s="18" t="n">
        <v>18.26316364</v>
      </c>
      <c r="H21" s="20" t="n">
        <v>1.86779969</v>
      </c>
      <c r="I21" s="18" t="s">
        <v>349</v>
      </c>
      <c r="J21" s="20" t="s">
        <v>349</v>
      </c>
      <c r="K21" s="18" t="n">
        <v>0</v>
      </c>
      <c r="L21" s="20" t="n">
        <v>0</v>
      </c>
      <c r="M21" s="18" t="n">
        <v>0</v>
      </c>
      <c r="N21" s="20" t="n">
        <v>0</v>
      </c>
      <c r="O21" s="18" t="n">
        <v>0</v>
      </c>
      <c r="P21" s="20" t="n">
        <v>0</v>
      </c>
      <c r="Q21" s="18" t="n">
        <v>0.75146508</v>
      </c>
      <c r="R21" s="20" t="n">
        <v>0.40646522</v>
      </c>
    </row>
    <row r="22" spans="1:18">
      <c r="A22" s="15" t="s">
        <v>364</v>
      </c>
      <c r="B22" s="17" t="n">
        <v>3667</v>
      </c>
      <c r="C22" s="18">
        <f>(3198.0/B22*100)</f>
        <v/>
      </c>
      <c r="D22" s="19" t="n">
        <v>469</v>
      </c>
      <c r="E22" s="18" t="n">
        <v>52.20213903</v>
      </c>
      <c r="F22" s="20" t="n">
        <v>2.55824701</v>
      </c>
      <c r="G22" s="18" t="n">
        <v>29.90645769</v>
      </c>
      <c r="H22" s="20" t="n">
        <v>2.13023001</v>
      </c>
      <c r="I22" s="18" t="s">
        <v>349</v>
      </c>
      <c r="J22" s="20" t="s">
        <v>349</v>
      </c>
      <c r="K22" s="18" t="n">
        <v>2.95357607</v>
      </c>
      <c r="L22" s="20" t="n">
        <v>0.7895497500000001</v>
      </c>
      <c r="M22" s="18" t="n">
        <v>0.35994763</v>
      </c>
      <c r="N22" s="20" t="n">
        <v>0.35594409</v>
      </c>
      <c r="O22" s="18" t="n">
        <v>0</v>
      </c>
      <c r="P22" s="20" t="n">
        <v>0</v>
      </c>
      <c r="Q22" s="18" t="n">
        <v>14.57787959</v>
      </c>
      <c r="R22" s="20" t="n">
        <v>1.75145422</v>
      </c>
    </row>
    <row r="23" spans="1:18">
      <c r="A23" s="15" t="s">
        <v>365</v>
      </c>
      <c r="B23" s="17" t="n">
        <v>5792</v>
      </c>
      <c r="C23" s="18">
        <f>(5056.0/B23*100)</f>
        <v/>
      </c>
      <c r="D23" s="19" t="n">
        <v>736</v>
      </c>
      <c r="E23" s="18" t="n">
        <v>54.29610418</v>
      </c>
      <c r="F23" s="20" t="n">
        <v>2.48280946</v>
      </c>
      <c r="G23" s="18" t="n">
        <v>35.2881721</v>
      </c>
      <c r="H23" s="20" t="n">
        <v>2.33840821</v>
      </c>
      <c r="I23" s="18" t="s">
        <v>349</v>
      </c>
      <c r="J23" s="20" t="s">
        <v>349</v>
      </c>
      <c r="K23" s="18" t="n">
        <v>1.54133455</v>
      </c>
      <c r="L23" s="20" t="n">
        <v>0.70345799</v>
      </c>
      <c r="M23" s="18" t="n">
        <v>0.31374422</v>
      </c>
      <c r="N23" s="20" t="n">
        <v>0.06798866000000001</v>
      </c>
      <c r="O23" s="18" t="n">
        <v>0</v>
      </c>
      <c r="P23" s="20" t="n">
        <v>0</v>
      </c>
      <c r="Q23" s="18" t="n">
        <v>8.56064494</v>
      </c>
      <c r="R23" s="20" t="n">
        <v>1.81083373</v>
      </c>
    </row>
    <row r="24" spans="1:18">
      <c r="A24" s="15" t="s">
        <v>366</v>
      </c>
      <c r="B24" s="17" t="n">
        <v>3309</v>
      </c>
      <c r="C24" s="18">
        <f>(2908.0/B24*100)</f>
        <v/>
      </c>
      <c r="D24" s="19" t="n">
        <v>401</v>
      </c>
      <c r="E24" s="18" t="n">
        <v>60.57523212</v>
      </c>
      <c r="F24" s="20" t="n">
        <v>2.339327</v>
      </c>
      <c r="G24" s="18" t="n">
        <v>34.71892492</v>
      </c>
      <c r="H24" s="20" t="n">
        <v>2.22106354</v>
      </c>
      <c r="I24" s="18" t="s">
        <v>349</v>
      </c>
      <c r="J24" s="20" t="s">
        <v>349</v>
      </c>
      <c r="K24" s="18" t="n">
        <v>0</v>
      </c>
      <c r="L24" s="20" t="n">
        <v>0</v>
      </c>
      <c r="M24" s="18" t="n">
        <v>0</v>
      </c>
      <c r="N24" s="20" t="n">
        <v>0</v>
      </c>
      <c r="O24" s="18" t="n">
        <v>0</v>
      </c>
      <c r="P24" s="20" t="n">
        <v>0</v>
      </c>
      <c r="Q24" s="18" t="n">
        <v>4.70584296</v>
      </c>
      <c r="R24" s="20" t="n">
        <v>1.0630507</v>
      </c>
    </row>
    <row r="25" spans="1:18">
      <c r="A25" s="15" t="s">
        <v>367</v>
      </c>
      <c r="B25" s="17" t="n">
        <v>2669</v>
      </c>
      <c r="C25" s="18">
        <f>(2343.0/B25*100)</f>
        <v/>
      </c>
      <c r="D25" s="19" t="n">
        <v>326</v>
      </c>
      <c r="E25" s="18" t="n">
        <v>47.25539003</v>
      </c>
      <c r="F25" s="20" t="n">
        <v>3.140399</v>
      </c>
      <c r="G25" s="18" t="n">
        <v>47.1069228</v>
      </c>
      <c r="H25" s="20" t="n">
        <v>3.23077572</v>
      </c>
      <c r="I25" s="18" t="s">
        <v>349</v>
      </c>
      <c r="J25" s="20" t="s">
        <v>349</v>
      </c>
      <c r="K25" s="18" t="n">
        <v>0.58672406</v>
      </c>
      <c r="L25" s="20" t="n">
        <v>0.49847186</v>
      </c>
      <c r="M25" s="18" t="n">
        <v>0</v>
      </c>
      <c r="N25" s="20" t="n">
        <v>0</v>
      </c>
      <c r="O25" s="18" t="n">
        <v>0</v>
      </c>
      <c r="P25" s="20" t="n">
        <v>0</v>
      </c>
      <c r="Q25" s="18" t="n">
        <v>5.05096311</v>
      </c>
      <c r="R25" s="20" t="n">
        <v>1.33596743</v>
      </c>
    </row>
    <row r="26" spans="1:18">
      <c r="A26" s="15" t="s">
        <v>368</v>
      </c>
      <c r="B26" s="17" t="n">
        <v>2419</v>
      </c>
      <c r="C26" s="18">
        <f>(2130.0/B26*100)</f>
        <v/>
      </c>
      <c r="D26" s="19" t="n">
        <v>289</v>
      </c>
      <c r="E26" s="18" t="n">
        <v>65.28057751999999</v>
      </c>
      <c r="F26" s="20" t="n">
        <v>3.51914119</v>
      </c>
      <c r="G26" s="18" t="n">
        <v>32.01703565</v>
      </c>
      <c r="H26" s="20" t="n">
        <v>3.57864027</v>
      </c>
      <c r="I26" s="18" t="s">
        <v>349</v>
      </c>
      <c r="J26" s="20" t="s">
        <v>349</v>
      </c>
      <c r="K26" s="18" t="n">
        <v>0.25971371</v>
      </c>
      <c r="L26" s="20" t="n">
        <v>0.26308117</v>
      </c>
      <c r="M26" s="18" t="n">
        <v>0</v>
      </c>
      <c r="N26" s="20" t="n">
        <v>0</v>
      </c>
      <c r="O26" s="18" t="n">
        <v>0</v>
      </c>
      <c r="P26" s="20" t="n">
        <v>0</v>
      </c>
      <c r="Q26" s="18" t="n">
        <v>2.44267312</v>
      </c>
      <c r="R26" s="20" t="n">
        <v>1.08333237</v>
      </c>
    </row>
    <row r="27" spans="1:18">
      <c r="A27" s="15" t="s">
        <v>369</v>
      </c>
      <c r="B27" s="17" t="n">
        <v>2683</v>
      </c>
      <c r="C27" s="18">
        <f>(2354.0/B27*100)</f>
        <v/>
      </c>
      <c r="D27" s="19" t="n">
        <v>329</v>
      </c>
      <c r="E27" s="18" t="n">
        <v>62.43405194</v>
      </c>
      <c r="F27" s="20" t="n">
        <v>2.67117964</v>
      </c>
      <c r="G27" s="18" t="n">
        <v>31.49310212</v>
      </c>
      <c r="H27" s="20" t="n">
        <v>2.43341047</v>
      </c>
      <c r="I27" s="18" t="s">
        <v>349</v>
      </c>
      <c r="J27" s="20" t="s">
        <v>349</v>
      </c>
      <c r="K27" s="18" t="n">
        <v>0.30191135</v>
      </c>
      <c r="L27" s="20" t="n">
        <v>0.30125284</v>
      </c>
      <c r="M27" s="18" t="n">
        <v>0</v>
      </c>
      <c r="N27" s="20" t="n">
        <v>0</v>
      </c>
      <c r="O27" s="18" t="n">
        <v>0</v>
      </c>
      <c r="P27" s="20" t="n">
        <v>0</v>
      </c>
      <c r="Q27" s="18" t="n">
        <v>5.77093458</v>
      </c>
      <c r="R27" s="20" t="n">
        <v>1.2094435</v>
      </c>
    </row>
    <row r="28" spans="1:18">
      <c r="A28" s="15" t="s">
        <v>370</v>
      </c>
      <c r="B28" s="17" t="n">
        <v>3803</v>
      </c>
      <c r="C28" s="18">
        <f>(3378.0/B28*100)</f>
        <v/>
      </c>
      <c r="D28" s="19" t="n">
        <v>425</v>
      </c>
      <c r="E28" s="18" t="n">
        <v>92.85230091</v>
      </c>
      <c r="F28" s="20" t="n">
        <v>1.27069486</v>
      </c>
      <c r="G28" s="18" t="n">
        <v>3.5038042</v>
      </c>
      <c r="H28" s="20" t="n">
        <v>1.08964433</v>
      </c>
      <c r="I28" s="18" t="s">
        <v>349</v>
      </c>
      <c r="J28" s="20" t="s">
        <v>349</v>
      </c>
      <c r="K28" s="18" t="n">
        <v>0.68812116</v>
      </c>
      <c r="L28" s="20" t="n">
        <v>0.40968103</v>
      </c>
      <c r="M28" s="18" t="n">
        <v>0</v>
      </c>
      <c r="N28" s="20" t="n">
        <v>0</v>
      </c>
      <c r="O28" s="18" t="n">
        <v>0</v>
      </c>
      <c r="P28" s="20" t="n">
        <v>0</v>
      </c>
      <c r="Q28" s="18" t="n">
        <v>2.95577374</v>
      </c>
      <c r="R28" s="20" t="n">
        <v>0.74747228</v>
      </c>
    </row>
    <row r="29" spans="1:18">
      <c r="A29" s="15" t="s">
        <v>371</v>
      </c>
      <c r="B29" s="17" t="n">
        <v>2700</v>
      </c>
      <c r="C29" s="18">
        <f>(2368.0/B29*100)</f>
        <v/>
      </c>
      <c r="D29" s="19" t="n">
        <v>332</v>
      </c>
      <c r="E29" s="18" t="n">
        <v>54.09941499</v>
      </c>
      <c r="F29" s="20" t="n">
        <v>2.42561188</v>
      </c>
      <c r="G29" s="18" t="n">
        <v>41.30272702</v>
      </c>
      <c r="H29" s="20" t="n">
        <v>2.23580532</v>
      </c>
      <c r="I29" s="18" t="s">
        <v>349</v>
      </c>
      <c r="J29" s="20" t="s">
        <v>349</v>
      </c>
      <c r="K29" s="18" t="n">
        <v>0.31399312</v>
      </c>
      <c r="L29" s="20" t="n">
        <v>0.32331344</v>
      </c>
      <c r="M29" s="18" t="n">
        <v>0</v>
      </c>
      <c r="N29" s="20" t="n">
        <v>0</v>
      </c>
      <c r="O29" s="18" t="n">
        <v>0</v>
      </c>
      <c r="P29" s="20" t="n">
        <v>0</v>
      </c>
      <c r="Q29" s="18" t="n">
        <v>4.28386488</v>
      </c>
      <c r="R29" s="20" t="n">
        <v>1.29211609</v>
      </c>
    </row>
    <row r="30" spans="1:18">
      <c r="A30" s="15" t="s">
        <v>372</v>
      </c>
      <c r="B30" s="17" t="n">
        <v>2257</v>
      </c>
      <c r="C30" s="18">
        <f>(1962.0/B30*100)</f>
        <v/>
      </c>
      <c r="D30" s="19" t="n">
        <v>295</v>
      </c>
      <c r="E30" s="18" t="n">
        <v>61.62881282</v>
      </c>
      <c r="F30" s="20" t="n">
        <v>3.27917962</v>
      </c>
      <c r="G30" s="18" t="n">
        <v>32.99532092</v>
      </c>
      <c r="H30" s="20" t="n">
        <v>2.97422675</v>
      </c>
      <c r="I30" s="18" t="s">
        <v>349</v>
      </c>
      <c r="J30" s="20" t="s">
        <v>349</v>
      </c>
      <c r="K30" s="18" t="n">
        <v>1.24587019</v>
      </c>
      <c r="L30" s="20" t="n">
        <v>0.7737533599999999</v>
      </c>
      <c r="M30" s="18" t="n">
        <v>0</v>
      </c>
      <c r="N30" s="20" t="n">
        <v>0</v>
      </c>
      <c r="O30" s="18" t="n">
        <v>0</v>
      </c>
      <c r="P30" s="20" t="n">
        <v>0</v>
      </c>
      <c r="Q30" s="18" t="n">
        <v>4.12999606</v>
      </c>
      <c r="R30" s="20" t="n">
        <v>1.158158</v>
      </c>
    </row>
    <row r="31" spans="1:18">
      <c r="A31" s="15" t="s">
        <v>373</v>
      </c>
      <c r="B31" s="17" t="n">
        <v>2706</v>
      </c>
      <c r="C31" s="18">
        <f>(2390.0/B31*100)</f>
        <v/>
      </c>
      <c r="D31" s="19" t="n">
        <v>316</v>
      </c>
      <c r="E31" s="18" t="n">
        <v>50.65546774</v>
      </c>
      <c r="F31" s="20" t="n">
        <v>2.91601057</v>
      </c>
      <c r="G31" s="18" t="n">
        <v>41.19064936</v>
      </c>
      <c r="H31" s="20" t="n">
        <v>2.58181835</v>
      </c>
      <c r="I31" s="18" t="s">
        <v>349</v>
      </c>
      <c r="J31" s="20" t="s">
        <v>349</v>
      </c>
      <c r="K31" s="18" t="n">
        <v>2.28727876</v>
      </c>
      <c r="L31" s="20" t="n">
        <v>0.83472777</v>
      </c>
      <c r="M31" s="18" t="n">
        <v>0</v>
      </c>
      <c r="N31" s="20" t="n">
        <v>0</v>
      </c>
      <c r="O31" s="18" t="n">
        <v>0</v>
      </c>
      <c r="P31" s="20" t="n">
        <v>0</v>
      </c>
      <c r="Q31" s="18" t="n">
        <v>5.86660413</v>
      </c>
      <c r="R31" s="20" t="n">
        <v>1.24196467</v>
      </c>
    </row>
    <row r="32" spans="1:18">
      <c r="A32" s="15" t="s">
        <v>374</v>
      </c>
      <c r="B32" s="17" t="n">
        <v>2209</v>
      </c>
      <c r="C32" s="18">
        <f>(1847.0/B32*100)</f>
        <v/>
      </c>
      <c r="D32" s="19" t="n">
        <v>362</v>
      </c>
      <c r="E32" s="18" t="n">
        <v>58.80450424</v>
      </c>
      <c r="F32" s="20" t="n">
        <v>3.0032481</v>
      </c>
      <c r="G32" s="18" t="n">
        <v>35.58252019</v>
      </c>
      <c r="H32" s="20" t="n">
        <v>3.02017051</v>
      </c>
      <c r="I32" s="18" t="s">
        <v>349</v>
      </c>
      <c r="J32" s="20" t="s">
        <v>349</v>
      </c>
      <c r="K32" s="18" t="n">
        <v>0.57964101</v>
      </c>
      <c r="L32" s="20" t="n">
        <v>0.38073843</v>
      </c>
      <c r="M32" s="18" t="n">
        <v>0</v>
      </c>
      <c r="N32" s="20" t="n">
        <v>0</v>
      </c>
      <c r="O32" s="18" t="n">
        <v>0</v>
      </c>
      <c r="P32" s="20" t="n">
        <v>0</v>
      </c>
      <c r="Q32" s="18" t="n">
        <v>5.03333456</v>
      </c>
      <c r="R32" s="20" t="n">
        <v>1.1744864</v>
      </c>
    </row>
    <row r="33" spans="1:18">
      <c r="A33" s="15" t="s">
        <v>375</v>
      </c>
      <c r="B33" s="17" t="n">
        <v>3651</v>
      </c>
      <c r="C33" s="18">
        <f>(3226.0/B33*100)</f>
        <v/>
      </c>
      <c r="D33" s="19" t="n">
        <v>425</v>
      </c>
      <c r="E33" s="18" t="n">
        <v>66.95968981999999</v>
      </c>
      <c r="F33" s="20" t="n">
        <v>3.0111119</v>
      </c>
      <c r="G33" s="18" t="n">
        <v>23.94768567</v>
      </c>
      <c r="H33" s="20" t="n">
        <v>2.59330755</v>
      </c>
      <c r="I33" s="18" t="s">
        <v>349</v>
      </c>
      <c r="J33" s="20" t="s">
        <v>349</v>
      </c>
      <c r="K33" s="18" t="n">
        <v>1.49217365</v>
      </c>
      <c r="L33" s="20" t="n">
        <v>0.89010574</v>
      </c>
      <c r="M33" s="18" t="n">
        <v>0</v>
      </c>
      <c r="N33" s="20" t="n">
        <v>0</v>
      </c>
      <c r="O33" s="18" t="n">
        <v>0</v>
      </c>
      <c r="P33" s="20" t="n">
        <v>0</v>
      </c>
      <c r="Q33" s="18" t="n">
        <v>7.60045085</v>
      </c>
      <c r="R33" s="20" t="n">
        <v>1.77853146</v>
      </c>
    </row>
    <row r="34" spans="1:18">
      <c r="A34" s="15" t="s">
        <v>376</v>
      </c>
      <c r="B34" s="17" t="n">
        <v>3035</v>
      </c>
      <c r="C34" s="18">
        <f>(2661.0/B34*100)</f>
        <v/>
      </c>
      <c r="D34" s="19" t="n">
        <v>374</v>
      </c>
      <c r="E34" s="18" t="n">
        <v>66.32554976999999</v>
      </c>
      <c r="F34" s="20" t="n">
        <v>2.53357208</v>
      </c>
      <c r="G34" s="18" t="n">
        <v>23.72533506</v>
      </c>
      <c r="H34" s="20" t="n">
        <v>2.19120305</v>
      </c>
      <c r="I34" s="18" t="s">
        <v>349</v>
      </c>
      <c r="J34" s="20" t="s">
        <v>349</v>
      </c>
      <c r="K34" s="18" t="n">
        <v>1.51560589</v>
      </c>
      <c r="L34" s="20" t="n">
        <v>0.64222828</v>
      </c>
      <c r="M34" s="18" t="n">
        <v>0</v>
      </c>
      <c r="N34" s="20" t="n">
        <v>0</v>
      </c>
      <c r="O34" s="18" t="n">
        <v>0</v>
      </c>
      <c r="P34" s="20" t="n">
        <v>0</v>
      </c>
      <c r="Q34" s="18" t="n">
        <v>8.433509280000001</v>
      </c>
      <c r="R34" s="20" t="n">
        <v>1.69778005</v>
      </c>
    </row>
    <row r="35" spans="1:18">
      <c r="A35" s="15" t="s">
        <v>377</v>
      </c>
      <c r="B35" s="17" t="n">
        <v>2901</v>
      </c>
      <c r="C35" s="18">
        <f>(2564.0/B35*100)</f>
        <v/>
      </c>
      <c r="D35" s="19" t="n">
        <v>337</v>
      </c>
      <c r="E35" s="18" t="n">
        <v>61.7489561</v>
      </c>
      <c r="F35" s="20" t="n">
        <v>3.143723</v>
      </c>
      <c r="G35" s="18" t="n">
        <v>32.53190748</v>
      </c>
      <c r="H35" s="20" t="n">
        <v>3.08760389</v>
      </c>
      <c r="I35" s="18" t="s">
        <v>349</v>
      </c>
      <c r="J35" s="20" t="s">
        <v>349</v>
      </c>
      <c r="K35" s="18" t="n">
        <v>0</v>
      </c>
      <c r="L35" s="20" t="n">
        <v>0</v>
      </c>
      <c r="M35" s="18" t="n">
        <v>0.77861233</v>
      </c>
      <c r="N35" s="20" t="n">
        <v>0.7354866</v>
      </c>
      <c r="O35" s="18" t="n">
        <v>0</v>
      </c>
      <c r="P35" s="20" t="n">
        <v>0</v>
      </c>
      <c r="Q35" s="18" t="n">
        <v>4.94052408</v>
      </c>
      <c r="R35" s="20" t="n">
        <v>1.48614465</v>
      </c>
    </row>
    <row r="36" spans="1:18">
      <c r="A36" s="15" t="s">
        <v>378</v>
      </c>
      <c r="B36" s="17" t="n">
        <v>3404</v>
      </c>
      <c r="C36" s="18">
        <f>(2967.0/B36*100)</f>
        <v/>
      </c>
      <c r="D36" s="19" t="n">
        <v>437</v>
      </c>
      <c r="E36" s="18" t="n">
        <v>68.25029398</v>
      </c>
      <c r="F36" s="20" t="n">
        <v>2.4309724</v>
      </c>
      <c r="G36" s="18" t="n">
        <v>25.26993939</v>
      </c>
      <c r="H36" s="20" t="n">
        <v>2.23056491</v>
      </c>
      <c r="I36" s="18" t="s">
        <v>349</v>
      </c>
      <c r="J36" s="20" t="s">
        <v>349</v>
      </c>
      <c r="K36" s="18" t="n">
        <v>0.30126605</v>
      </c>
      <c r="L36" s="20" t="n">
        <v>0.30371274</v>
      </c>
      <c r="M36" s="18" t="n">
        <v>0</v>
      </c>
      <c r="N36" s="20" t="n">
        <v>0</v>
      </c>
      <c r="O36" s="18" t="n">
        <v>0</v>
      </c>
      <c r="P36" s="20" t="n">
        <v>0</v>
      </c>
      <c r="Q36" s="18" t="n">
        <v>6.17850059</v>
      </c>
      <c r="R36" s="20" t="n">
        <v>1.30724402</v>
      </c>
    </row>
    <row r="37" spans="1:18">
      <c r="A37" s="15" t="s">
        <v>379</v>
      </c>
      <c r="B37" s="17" t="n">
        <v>2731</v>
      </c>
      <c r="C37" s="18">
        <f>(2402.0/B37*100)</f>
        <v/>
      </c>
      <c r="D37" s="19" t="n">
        <v>329</v>
      </c>
      <c r="E37" s="18" t="n">
        <v>51.32070517</v>
      </c>
      <c r="F37" s="20" t="n">
        <v>2.6704814</v>
      </c>
      <c r="G37" s="18" t="n">
        <v>38.17247769</v>
      </c>
      <c r="H37" s="20" t="n">
        <v>2.5610435</v>
      </c>
      <c r="I37" s="18" t="s">
        <v>349</v>
      </c>
      <c r="J37" s="20" t="s">
        <v>349</v>
      </c>
      <c r="K37" s="18" t="n">
        <v>1.84220488</v>
      </c>
      <c r="L37" s="20" t="n">
        <v>0.75145214</v>
      </c>
      <c r="M37" s="18" t="n">
        <v>0</v>
      </c>
      <c r="N37" s="20" t="n">
        <v>0</v>
      </c>
      <c r="O37" s="18" t="n">
        <v>0</v>
      </c>
      <c r="P37" s="20" t="n">
        <v>0</v>
      </c>
      <c r="Q37" s="18" t="n">
        <v>8.66461226</v>
      </c>
      <c r="R37" s="20" t="n">
        <v>1.47647748</v>
      </c>
    </row>
    <row r="38" spans="1:18">
      <c r="A38" s="15" t="s">
        <v>380</v>
      </c>
      <c r="B38" s="17" t="n">
        <v>2807</v>
      </c>
      <c r="C38" s="18">
        <f>(2358.0/B38*100)</f>
        <v/>
      </c>
      <c r="D38" s="19" t="n">
        <v>449</v>
      </c>
      <c r="E38" s="18" t="n">
        <v>51.26493533</v>
      </c>
      <c r="F38" s="20" t="n">
        <v>2.54004658</v>
      </c>
      <c r="G38" s="18" t="n">
        <v>39.90613898</v>
      </c>
      <c r="H38" s="20" t="n">
        <v>2.33455756</v>
      </c>
      <c r="I38" s="18" t="s">
        <v>349</v>
      </c>
      <c r="J38" s="20" t="s">
        <v>349</v>
      </c>
      <c r="K38" s="18" t="n">
        <v>0.71199494</v>
      </c>
      <c r="L38" s="20" t="n">
        <v>0.41591831</v>
      </c>
      <c r="M38" s="18" t="n">
        <v>0.30999575</v>
      </c>
      <c r="N38" s="20" t="n">
        <v>0.31280908</v>
      </c>
      <c r="O38" s="18" t="n">
        <v>0</v>
      </c>
      <c r="P38" s="20" t="n">
        <v>0</v>
      </c>
      <c r="Q38" s="18" t="n">
        <v>7.806935</v>
      </c>
      <c r="R38" s="20" t="n">
        <v>2.08407097</v>
      </c>
    </row>
    <row r="39" spans="1:18">
      <c r="A39" s="15" t="s">
        <v>381</v>
      </c>
      <c r="B39" s="17" t="n">
        <v>2938</v>
      </c>
      <c r="C39" s="18">
        <f>(2583.0/B39*100)</f>
        <v/>
      </c>
      <c r="D39" s="19" t="n">
        <v>355</v>
      </c>
      <c r="E39" s="18" t="n">
        <v>56.61283241</v>
      </c>
      <c r="F39" s="20" t="n">
        <v>2.76135665</v>
      </c>
      <c r="G39" s="18" t="n">
        <v>37.98229005</v>
      </c>
      <c r="H39" s="20" t="n">
        <v>2.94156037</v>
      </c>
      <c r="I39" s="18" t="s">
        <v>349</v>
      </c>
      <c r="J39" s="20" t="s">
        <v>349</v>
      </c>
      <c r="K39" s="18" t="n">
        <v>0.62783811</v>
      </c>
      <c r="L39" s="20" t="n">
        <v>0.37377965</v>
      </c>
      <c r="M39" s="18" t="n">
        <v>0</v>
      </c>
      <c r="N39" s="20" t="n">
        <v>0</v>
      </c>
      <c r="O39" s="18" t="n">
        <v>0</v>
      </c>
      <c r="P39" s="20" t="n">
        <v>0</v>
      </c>
      <c r="Q39" s="18" t="n">
        <v>4.77703943</v>
      </c>
      <c r="R39" s="20" t="n">
        <v>0.98358967</v>
      </c>
    </row>
    <row r="40" spans="1:18">
      <c r="A40" s="15" t="s">
        <v>382</v>
      </c>
      <c r="B40" s="17" t="n">
        <v>6922</v>
      </c>
      <c r="C40" s="18">
        <f>(6087.0/B40*100)</f>
        <v/>
      </c>
      <c r="D40" s="19" t="n">
        <v>835</v>
      </c>
      <c r="E40" s="18" t="n">
        <v>67.40921843</v>
      </c>
      <c r="F40" s="20" t="n">
        <v>2.79100354</v>
      </c>
      <c r="G40" s="18" t="n">
        <v>26.32119324</v>
      </c>
      <c r="H40" s="20" t="n">
        <v>2.25437991</v>
      </c>
      <c r="I40" s="18" t="s">
        <v>349</v>
      </c>
      <c r="J40" s="20" t="s">
        <v>349</v>
      </c>
      <c r="K40" s="18" t="n">
        <v>1.03763405</v>
      </c>
      <c r="L40" s="20" t="n">
        <v>0.39438868</v>
      </c>
      <c r="M40" s="18" t="n">
        <v>0</v>
      </c>
      <c r="N40" s="20" t="n">
        <v>0</v>
      </c>
      <c r="O40" s="18" t="n">
        <v>0</v>
      </c>
      <c r="P40" s="20" t="n">
        <v>0</v>
      </c>
      <c r="Q40" s="18" t="n">
        <v>5.23195428</v>
      </c>
      <c r="R40" s="20" t="n">
        <v>1.29635294</v>
      </c>
    </row>
    <row r="41" spans="1:18">
      <c r="A41" s="15" t="s">
        <v>383</v>
      </c>
      <c r="B41" s="17" t="n">
        <v>2854</v>
      </c>
      <c r="C41" s="18">
        <f>(2500.0/B41*100)</f>
        <v/>
      </c>
      <c r="D41" s="19" t="n">
        <v>354</v>
      </c>
      <c r="E41" s="18" t="n">
        <v>79.16423288999999</v>
      </c>
      <c r="F41" s="20" t="n">
        <v>2.51219051</v>
      </c>
      <c r="G41" s="18" t="n">
        <v>18.96571394</v>
      </c>
      <c r="H41" s="20" t="n">
        <v>2.51667207</v>
      </c>
      <c r="I41" s="18" t="s">
        <v>349</v>
      </c>
      <c r="J41" s="20" t="s">
        <v>349</v>
      </c>
      <c r="K41" s="18" t="n">
        <v>0.31917587</v>
      </c>
      <c r="L41" s="20" t="n">
        <v>0.28473801</v>
      </c>
      <c r="M41" s="18" t="n">
        <v>0</v>
      </c>
      <c r="N41" s="20" t="n">
        <v>0</v>
      </c>
      <c r="O41" s="18" t="n">
        <v>0</v>
      </c>
      <c r="P41" s="20" t="n">
        <v>0</v>
      </c>
      <c r="Q41" s="18" t="n">
        <v>1.5508773</v>
      </c>
      <c r="R41" s="20" t="n">
        <v>0.67097469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(10825.0/B46*100)</f>
        <v/>
      </c>
      <c r="D46" s="19" t="n">
        <v>1248</v>
      </c>
      <c r="E46" s="18" t="n">
        <v>72.05261181</v>
      </c>
      <c r="F46" s="20" t="n">
        <v>1.49316258</v>
      </c>
      <c r="G46" s="18" t="n">
        <v>5.96451708</v>
      </c>
      <c r="H46" s="20" t="n">
        <v>0.87272649</v>
      </c>
      <c r="I46" s="18" t="s">
        <v>349</v>
      </c>
      <c r="J46" s="20" t="s">
        <v>349</v>
      </c>
      <c r="K46" s="18" t="n">
        <v>1.86079353</v>
      </c>
      <c r="L46" s="20" t="n">
        <v>0.4410175</v>
      </c>
      <c r="M46" s="18" t="n">
        <v>0</v>
      </c>
      <c r="N46" s="20" t="n">
        <v>0</v>
      </c>
      <c r="O46" s="18" t="n">
        <v>0</v>
      </c>
      <c r="P46" s="20" t="n">
        <v>0</v>
      </c>
      <c r="Q46" s="18" t="n">
        <v>20.12207758</v>
      </c>
      <c r="R46" s="20" t="n">
        <v>1.37216105</v>
      </c>
    </row>
    <row r="47" spans="1:18">
      <c r="A47" s="15" t="s">
        <v>389</v>
      </c>
      <c r="B47" s="17" t="n">
        <v>2823</v>
      </c>
      <c r="C47" s="18">
        <f>(2484.0/B47*100)</f>
        <v/>
      </c>
      <c r="D47" s="19" t="n">
        <v>339</v>
      </c>
      <c r="E47" s="18" t="n">
        <v>54.71596922</v>
      </c>
      <c r="F47" s="20" t="n">
        <v>3.25108621</v>
      </c>
      <c r="G47" s="18" t="n">
        <v>28.01445916</v>
      </c>
      <c r="H47" s="20" t="n">
        <v>2.90301464</v>
      </c>
      <c r="I47" s="18" t="s">
        <v>349</v>
      </c>
      <c r="J47" s="20" t="s">
        <v>349</v>
      </c>
      <c r="K47" s="18" t="n">
        <v>1.49997747</v>
      </c>
      <c r="L47" s="20" t="n">
        <v>0.68586122</v>
      </c>
      <c r="M47" s="18" t="n">
        <v>0</v>
      </c>
      <c r="N47" s="20" t="n">
        <v>0</v>
      </c>
      <c r="O47" s="18" t="n">
        <v>0</v>
      </c>
      <c r="P47" s="20" t="n">
        <v>0</v>
      </c>
      <c r="Q47" s="18" t="n">
        <v>15.76959415</v>
      </c>
      <c r="R47" s="20" t="n">
        <v>2.07140314</v>
      </c>
    </row>
    <row r="48" spans="1:18">
      <c r="A48" s="15" t="s">
        <v>390</v>
      </c>
      <c r="B48" s="17" t="n">
        <v>4682</v>
      </c>
      <c r="C48" s="18">
        <f>(4111.0/B48*100)</f>
        <v/>
      </c>
      <c r="D48" s="19" t="n">
        <v>571</v>
      </c>
      <c r="E48" s="18" t="n">
        <v>53.11085639</v>
      </c>
      <c r="F48" s="20" t="n">
        <v>2.96356931</v>
      </c>
      <c r="G48" s="18" t="n">
        <v>36.83826169</v>
      </c>
      <c r="H48" s="20" t="n">
        <v>2.65841708</v>
      </c>
      <c r="I48" s="18" t="s">
        <v>349</v>
      </c>
      <c r="J48" s="20" t="s">
        <v>349</v>
      </c>
      <c r="K48" s="18" t="n">
        <v>1.27171821</v>
      </c>
      <c r="L48" s="20" t="n">
        <v>0.974337</v>
      </c>
      <c r="M48" s="18" t="n">
        <v>0.35083809</v>
      </c>
      <c r="N48" s="20" t="n">
        <v>0.33784912</v>
      </c>
      <c r="O48" s="18" t="n">
        <v>0</v>
      </c>
      <c r="P48" s="20" t="n">
        <v>0</v>
      </c>
      <c r="Q48" s="18" t="n">
        <v>8.42832561</v>
      </c>
      <c r="R48" s="20" t="n">
        <v>1.43456501</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(5431.0/B50*100)</f>
        <v/>
      </c>
      <c r="D50" s="19" t="n">
        <v>727</v>
      </c>
      <c r="E50" s="18" t="n">
        <v>88.72919607999999</v>
      </c>
      <c r="F50" s="20" t="n">
        <v>1.34750386</v>
      </c>
      <c r="G50" s="18" t="n">
        <v>3.77960574</v>
      </c>
      <c r="H50" s="20" t="n">
        <v>0.76897634</v>
      </c>
      <c r="I50" s="18" t="s">
        <v>349</v>
      </c>
      <c r="J50" s="20" t="s">
        <v>349</v>
      </c>
      <c r="K50" s="18" t="n">
        <v>1.81643196</v>
      </c>
      <c r="L50" s="20" t="n">
        <v>0.8050228699999999</v>
      </c>
      <c r="M50" s="18" t="n">
        <v>1.20216481</v>
      </c>
      <c r="N50" s="20" t="n">
        <v>0.29252578</v>
      </c>
      <c r="O50" s="18" t="n">
        <v>0</v>
      </c>
      <c r="P50" s="20" t="n">
        <v>0</v>
      </c>
      <c r="Q50" s="18" t="n">
        <v>4.4726014</v>
      </c>
      <c r="R50" s="20" t="n">
        <v>0.8555749499999999</v>
      </c>
    </row>
    <row r="51" spans="1:18">
      <c r="A51" s="15" t="s">
        <v>393</v>
      </c>
      <c r="B51" s="17" t="n">
        <v>3494</v>
      </c>
      <c r="C51" s="18">
        <f>(3137.0/B51*100)</f>
        <v/>
      </c>
      <c r="D51" s="19" t="n">
        <v>357</v>
      </c>
      <c r="E51" s="18" t="n">
        <v>83.99893406</v>
      </c>
      <c r="F51" s="20" t="n">
        <v>1.95968908</v>
      </c>
      <c r="G51" s="18" t="n">
        <v>6.10342566</v>
      </c>
      <c r="H51" s="20" t="n">
        <v>1.23746794</v>
      </c>
      <c r="I51" s="18" t="s">
        <v>349</v>
      </c>
      <c r="J51" s="20" t="s">
        <v>349</v>
      </c>
      <c r="K51" s="18" t="n">
        <v>1.83809372</v>
      </c>
      <c r="L51" s="20" t="n">
        <v>0.7551866699999999</v>
      </c>
      <c r="M51" s="18" t="n">
        <v>0.52216475</v>
      </c>
      <c r="N51" s="20" t="n">
        <v>0.48385526</v>
      </c>
      <c r="O51" s="18" t="n">
        <v>0</v>
      </c>
      <c r="P51" s="20" t="n">
        <v>0</v>
      </c>
      <c r="Q51" s="18" t="n">
        <v>7.53738181</v>
      </c>
      <c r="R51" s="20" t="n">
        <v>1.5769891</v>
      </c>
    </row>
    <row r="52" spans="1:18">
      <c r="A52" s="15" t="s">
        <v>394</v>
      </c>
      <c r="B52" s="17" t="n">
        <v>3013</v>
      </c>
      <c r="C52" s="18">
        <f>(2646.0/B52*100)</f>
        <v/>
      </c>
      <c r="D52" s="19" t="n">
        <v>367</v>
      </c>
      <c r="E52" s="18" t="n">
        <v>62.8565617</v>
      </c>
      <c r="F52" s="20" t="n">
        <v>3.09483801</v>
      </c>
      <c r="G52" s="18" t="n">
        <v>29.6673769</v>
      </c>
      <c r="H52" s="20" t="n">
        <v>3.03780802</v>
      </c>
      <c r="I52" s="18" t="s">
        <v>349</v>
      </c>
      <c r="J52" s="20" t="s">
        <v>349</v>
      </c>
      <c r="K52" s="18" t="n">
        <v>0</v>
      </c>
      <c r="L52" s="20" t="n">
        <v>0</v>
      </c>
      <c r="M52" s="18" t="n">
        <v>0</v>
      </c>
      <c r="N52" s="20" t="n">
        <v>0</v>
      </c>
      <c r="O52" s="18" t="n">
        <v>0</v>
      </c>
      <c r="P52" s="20" t="n">
        <v>0</v>
      </c>
      <c r="Q52" s="18" t="n">
        <v>7.4760614</v>
      </c>
      <c r="R52" s="20" t="n">
        <v>1.3131369</v>
      </c>
    </row>
    <row r="53" spans="1:18">
      <c r="A53" s="15" t="s">
        <v>395</v>
      </c>
      <c r="B53" s="17" t="n">
        <v>2760</v>
      </c>
      <c r="C53" s="18">
        <f>(2412.0/B53*100)</f>
        <v/>
      </c>
      <c r="D53" s="19" t="n">
        <v>348</v>
      </c>
      <c r="E53" s="18" t="n">
        <v>71.08909147</v>
      </c>
      <c r="F53" s="20" t="n">
        <v>2.49235448</v>
      </c>
      <c r="G53" s="18" t="n">
        <v>17.8865656</v>
      </c>
      <c r="H53" s="20" t="n">
        <v>2.04085689</v>
      </c>
      <c r="I53" s="18" t="s">
        <v>349</v>
      </c>
      <c r="J53" s="20" t="s">
        <v>349</v>
      </c>
      <c r="K53" s="18" t="n">
        <v>0.24895349</v>
      </c>
      <c r="L53" s="20" t="n">
        <v>0.24849784</v>
      </c>
      <c r="M53" s="18" t="n">
        <v>0</v>
      </c>
      <c r="N53" s="20" t="n">
        <v>0</v>
      </c>
      <c r="O53" s="18" t="n">
        <v>0</v>
      </c>
      <c r="P53" s="20" t="n">
        <v>0</v>
      </c>
      <c r="Q53" s="18" t="n">
        <v>10.77538944</v>
      </c>
      <c r="R53" s="20" t="n">
        <v>1.7722085</v>
      </c>
    </row>
    <row r="54" spans="1:18">
      <c r="A54" s="15" t="s">
        <v>396</v>
      </c>
      <c r="B54" s="17" t="n">
        <v>2474</v>
      </c>
      <c r="C54" s="18">
        <f>(2042.0/B54*100)</f>
        <v/>
      </c>
      <c r="D54" s="19" t="n">
        <v>432</v>
      </c>
      <c r="E54" s="18" t="n">
        <v>69.45398763</v>
      </c>
      <c r="F54" s="20" t="n">
        <v>2.54918633</v>
      </c>
      <c r="G54" s="18" t="n">
        <v>2.75432784</v>
      </c>
      <c r="H54" s="20" t="n">
        <v>0.8227687</v>
      </c>
      <c r="I54" s="18" t="s">
        <v>349</v>
      </c>
      <c r="J54" s="20" t="s">
        <v>349</v>
      </c>
      <c r="K54" s="18" t="n">
        <v>9.9950964</v>
      </c>
      <c r="L54" s="20" t="n">
        <v>1.50822865</v>
      </c>
      <c r="M54" s="18" t="n">
        <v>1.27738327</v>
      </c>
      <c r="N54" s="20" t="n">
        <v>1.38583985</v>
      </c>
      <c r="O54" s="18" t="n">
        <v>0</v>
      </c>
      <c r="P54" s="20" t="n">
        <v>0</v>
      </c>
      <c r="Q54" s="18" t="n">
        <v>16.51920487</v>
      </c>
      <c r="R54" s="20" t="n">
        <v>1.96427437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(2339.0/B56*100)</f>
        <v/>
      </c>
      <c r="D56" s="19" t="n">
        <v>336</v>
      </c>
      <c r="E56" s="18" t="n">
        <v>57.36313597</v>
      </c>
      <c r="F56" s="20" t="n">
        <v>3.24169713</v>
      </c>
      <c r="G56" s="18" t="n">
        <v>39.56022514</v>
      </c>
      <c r="H56" s="20" t="n">
        <v>3.07121477</v>
      </c>
      <c r="I56" s="18" t="s">
        <v>349</v>
      </c>
      <c r="J56" s="20" t="s">
        <v>349</v>
      </c>
      <c r="K56" s="18" t="n">
        <v>0</v>
      </c>
      <c r="L56" s="20" t="n">
        <v>0</v>
      </c>
      <c r="M56" s="18" t="n">
        <v>0</v>
      </c>
      <c r="N56" s="20" t="n">
        <v>0</v>
      </c>
      <c r="O56" s="18" t="n">
        <v>0</v>
      </c>
      <c r="P56" s="20" t="n">
        <v>0</v>
      </c>
      <c r="Q56" s="18" t="n">
        <v>3.07663889</v>
      </c>
      <c r="R56" s="20" t="n">
        <v>0.97428142</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(2800.0/B61*100)</f>
        <v/>
      </c>
      <c r="D61" s="19" t="n">
        <v>401</v>
      </c>
      <c r="E61" s="18" t="n">
        <v>61.10203084</v>
      </c>
      <c r="F61" s="20" t="n">
        <v>2.53121797</v>
      </c>
      <c r="G61" s="18" t="n">
        <v>34.21372664</v>
      </c>
      <c r="H61" s="20" t="n">
        <v>2.45801757</v>
      </c>
      <c r="I61" s="18" t="s">
        <v>349</v>
      </c>
      <c r="J61" s="20" t="s">
        <v>349</v>
      </c>
      <c r="K61" s="18" t="n">
        <v>0.72167382</v>
      </c>
      <c r="L61" s="20" t="n">
        <v>0.70681778</v>
      </c>
      <c r="M61" s="18" t="n">
        <v>0</v>
      </c>
      <c r="N61" s="20" t="n">
        <v>0</v>
      </c>
      <c r="O61" s="18" t="n">
        <v>0</v>
      </c>
      <c r="P61" s="20" t="n">
        <v>0</v>
      </c>
      <c r="Q61" s="18" t="n">
        <v>3.9625687</v>
      </c>
      <c r="R61" s="20" t="n">
        <v>0.93302049</v>
      </c>
    </row>
    <row r="62" spans="1:18">
      <c r="A62" s="15" t="s">
        <v>404</v>
      </c>
      <c r="B62" s="17" t="n">
        <v>2230</v>
      </c>
      <c r="C62" s="18">
        <f>(1982.0/B62*100)</f>
        <v/>
      </c>
      <c r="D62" s="19" t="n">
        <v>248</v>
      </c>
      <c r="E62" s="18" t="n">
        <v>59.3521246</v>
      </c>
      <c r="F62" s="20" t="n">
        <v>3.48130699</v>
      </c>
      <c r="G62" s="18" t="n">
        <v>38.57038978</v>
      </c>
      <c r="H62" s="20" t="n">
        <v>3.21506881</v>
      </c>
      <c r="I62" s="18" t="s">
        <v>349</v>
      </c>
      <c r="J62" s="20" t="s">
        <v>349</v>
      </c>
      <c r="K62" s="18" t="n">
        <v>0.40015132</v>
      </c>
      <c r="L62" s="20" t="n">
        <v>0.40183372</v>
      </c>
      <c r="M62" s="18" t="n">
        <v>0</v>
      </c>
      <c r="N62" s="20" t="n">
        <v>0</v>
      </c>
      <c r="O62" s="18" t="n">
        <v>0</v>
      </c>
      <c r="P62" s="20" t="n">
        <v>0</v>
      </c>
      <c r="Q62" s="18" t="n">
        <v>1.6773343</v>
      </c>
      <c r="R62" s="20" t="n">
        <v>0.8557115</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(2441.0/B66*100)</f>
        <v/>
      </c>
      <c r="D66" s="19" t="n">
        <v>330</v>
      </c>
      <c r="E66" s="18" t="n">
        <v>50.54200104</v>
      </c>
      <c r="F66" s="20" t="n">
        <v>2.58982594</v>
      </c>
      <c r="G66" s="18" t="n">
        <v>26.59640019</v>
      </c>
      <c r="H66" s="20" t="n">
        <v>2.19371457</v>
      </c>
      <c r="I66" s="18" t="s">
        <v>349</v>
      </c>
      <c r="J66" s="20" t="s">
        <v>349</v>
      </c>
      <c r="K66" s="18" t="n">
        <v>3.52475373</v>
      </c>
      <c r="L66" s="20" t="n">
        <v>1.0866155</v>
      </c>
      <c r="M66" s="18" t="n">
        <v>0.86211626</v>
      </c>
      <c r="N66" s="20" t="n">
        <v>0.50242418</v>
      </c>
      <c r="O66" s="18" t="n">
        <v>0</v>
      </c>
      <c r="P66" s="20" t="n">
        <v>0</v>
      </c>
      <c r="Q66" s="18" t="n">
        <v>18.47472877</v>
      </c>
      <c r="R66" s="20" t="n">
        <v>1.97576955</v>
      </c>
    </row>
    <row r="67" spans="1:18">
      <c r="A67" s="15" t="s">
        <v>409</v>
      </c>
      <c r="B67" s="17" t="n">
        <v>3460</v>
      </c>
      <c r="C67" s="18">
        <f>(3084.0/B67*100)</f>
        <v/>
      </c>
      <c r="D67" s="19" t="n">
        <v>376</v>
      </c>
      <c r="E67" s="18" t="n">
        <v>86.49442522</v>
      </c>
      <c r="F67" s="20" t="n">
        <v>2.13725189</v>
      </c>
      <c r="G67" s="18" t="n">
        <v>3.5411682</v>
      </c>
      <c r="H67" s="20" t="n">
        <v>1.00259299</v>
      </c>
      <c r="I67" s="18" t="s">
        <v>349</v>
      </c>
      <c r="J67" s="20" t="s">
        <v>349</v>
      </c>
      <c r="K67" s="18" t="n">
        <v>0.20651434</v>
      </c>
      <c r="L67" s="20" t="n">
        <v>0.20527141</v>
      </c>
      <c r="M67" s="18" t="n">
        <v>0.20058748</v>
      </c>
      <c r="N67" s="20" t="n">
        <v>0.19998854</v>
      </c>
      <c r="O67" s="18" t="n">
        <v>0</v>
      </c>
      <c r="P67" s="20" t="n">
        <v>0</v>
      </c>
      <c r="Q67" s="18" t="n">
        <v>9.557304759999999</v>
      </c>
      <c r="R67" s="20" t="n">
        <v>1.97131549</v>
      </c>
    </row>
    <row r="68" spans="1:18">
      <c r="A68" s="15" t="s">
        <v>410</v>
      </c>
      <c r="B68" s="17" t="n">
        <v>6034</v>
      </c>
      <c r="C68" s="18">
        <f>(5040.0/B68*100)</f>
        <v/>
      </c>
      <c r="D68" s="19" t="n">
        <v>994</v>
      </c>
      <c r="E68" s="18" t="n">
        <v>74.99400722999999</v>
      </c>
      <c r="F68" s="20" t="n">
        <v>1.34113315</v>
      </c>
      <c r="G68" s="18" t="n">
        <v>11.10868339</v>
      </c>
      <c r="H68" s="20" t="n">
        <v>1.03514881</v>
      </c>
      <c r="I68" s="18" t="s">
        <v>349</v>
      </c>
      <c r="J68" s="20" t="s">
        <v>349</v>
      </c>
      <c r="K68" s="18" t="n">
        <v>3.31863622</v>
      </c>
      <c r="L68" s="20" t="n">
        <v>0.49170394</v>
      </c>
      <c r="M68" s="18" t="n">
        <v>0</v>
      </c>
      <c r="N68" s="20" t="n">
        <v>0</v>
      </c>
      <c r="O68" s="18" t="n">
        <v>0</v>
      </c>
      <c r="P68" s="20" t="n">
        <v>0</v>
      </c>
      <c r="Q68" s="18" t="n">
        <v>10.57867315</v>
      </c>
      <c r="R68" s="20" t="n">
        <v>0.84475768</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(2760.0/B70*100)</f>
        <v/>
      </c>
      <c r="D70" s="19" t="n">
        <v>347</v>
      </c>
      <c r="E70" s="18" t="n">
        <v>61.26023522</v>
      </c>
      <c r="F70" s="20" t="n">
        <v>2.64106123</v>
      </c>
      <c r="G70" s="18" t="n">
        <v>31.4144496</v>
      </c>
      <c r="H70" s="20" t="n">
        <v>2.4860165</v>
      </c>
      <c r="I70" s="18" t="s">
        <v>349</v>
      </c>
      <c r="J70" s="20" t="s">
        <v>349</v>
      </c>
      <c r="K70" s="18" t="n">
        <v>0.5206418</v>
      </c>
      <c r="L70" s="20" t="n">
        <v>0.30333045</v>
      </c>
      <c r="M70" s="18" t="n">
        <v>0.34899048</v>
      </c>
      <c r="N70" s="20" t="n">
        <v>0.24459764</v>
      </c>
      <c r="O70" s="18" t="n">
        <v>0</v>
      </c>
      <c r="P70" s="20" t="n">
        <v>0</v>
      </c>
      <c r="Q70" s="18" t="n">
        <v>6.4556829</v>
      </c>
      <c r="R70" s="20" t="n">
        <v>1.04689468</v>
      </c>
    </row>
    <row r="71" spans="1:18">
      <c r="A71" s="15" t="s">
        <v>413</v>
      </c>
      <c r="B71" s="17" t="n">
        <v>2973</v>
      </c>
      <c r="C71" s="18">
        <f>(2595.0/B71*100)</f>
        <v/>
      </c>
      <c r="D71" s="19" t="n">
        <v>378</v>
      </c>
      <c r="E71" s="18" t="n">
        <v>51.12796715</v>
      </c>
      <c r="F71" s="20" t="n">
        <v>2.87025611</v>
      </c>
      <c r="G71" s="18" t="n">
        <v>47.78127412</v>
      </c>
      <c r="H71" s="20" t="n">
        <v>2.91981286</v>
      </c>
      <c r="I71" s="18" t="s">
        <v>349</v>
      </c>
      <c r="J71" s="20" t="s">
        <v>349</v>
      </c>
      <c r="K71" s="18" t="n">
        <v>0.30303168</v>
      </c>
      <c r="L71" s="20" t="n">
        <v>0.30139377</v>
      </c>
      <c r="M71" s="18" t="n">
        <v>0</v>
      </c>
      <c r="N71" s="20" t="n">
        <v>0</v>
      </c>
      <c r="O71" s="18" t="n">
        <v>0</v>
      </c>
      <c r="P71" s="20" t="n">
        <v>0</v>
      </c>
      <c r="Q71" s="18" t="n">
        <v>0.78772704</v>
      </c>
      <c r="R71" s="20" t="n">
        <v>0.45725043</v>
      </c>
    </row>
    <row r="72" spans="1:18">
      <c r="A72" s="15" t="s">
        <v>414</v>
      </c>
      <c r="B72" s="17" t="n">
        <v>3819</v>
      </c>
      <c r="C72" s="18">
        <f>(3329.0/B72*100)</f>
        <v/>
      </c>
      <c r="D72" s="19" t="n">
        <v>490</v>
      </c>
      <c r="E72" s="18" t="n">
        <v>39.30294489</v>
      </c>
      <c r="F72" s="20" t="n">
        <v>2.27237657</v>
      </c>
      <c r="G72" s="18" t="n">
        <v>54.48333727</v>
      </c>
      <c r="H72" s="20" t="n">
        <v>2.28104187</v>
      </c>
      <c r="I72" s="18" t="s">
        <v>349</v>
      </c>
      <c r="J72" s="20" t="s">
        <v>349</v>
      </c>
      <c r="K72" s="18" t="n">
        <v>0.22178018</v>
      </c>
      <c r="L72" s="20" t="n">
        <v>0.22147429</v>
      </c>
      <c r="M72" s="18" t="n">
        <v>0</v>
      </c>
      <c r="N72" s="20" t="n">
        <v>0</v>
      </c>
      <c r="O72" s="18" t="n">
        <v>0</v>
      </c>
      <c r="P72" s="20" t="n">
        <v>0</v>
      </c>
      <c r="Q72" s="18" t="n">
        <v>5.99193766</v>
      </c>
      <c r="R72" s="20" t="n">
        <v>1.04639574</v>
      </c>
    </row>
    <row r="73" spans="1:18">
      <c r="A73" s="15" t="s">
        <v>415</v>
      </c>
      <c r="B73" s="17" t="n">
        <v>4652</v>
      </c>
      <c r="C73" s="18">
        <f>(4113.0/B73*100)</f>
        <v/>
      </c>
      <c r="D73" s="19" t="n">
        <v>539</v>
      </c>
      <c r="E73" s="18" t="n">
        <v>88.89010718</v>
      </c>
      <c r="F73" s="20" t="n">
        <v>1.82075141</v>
      </c>
      <c r="G73" s="18" t="n">
        <v>7.71090404</v>
      </c>
      <c r="H73" s="20" t="n">
        <v>1.56747149</v>
      </c>
      <c r="I73" s="18" t="s">
        <v>349</v>
      </c>
      <c r="J73" s="20" t="s">
        <v>349</v>
      </c>
      <c r="K73" s="18" t="n">
        <v>0</v>
      </c>
      <c r="L73" s="20" t="n">
        <v>0</v>
      </c>
      <c r="M73" s="18" t="n">
        <v>0</v>
      </c>
      <c r="N73" s="20" t="n">
        <v>0</v>
      </c>
      <c r="O73" s="18" t="n">
        <v>0</v>
      </c>
      <c r="P73" s="20" t="n">
        <v>0</v>
      </c>
      <c r="Q73" s="18" t="n">
        <v>3.39898878</v>
      </c>
      <c r="R73" s="20" t="n">
        <v>0.925077</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(2629.0/B75*100)</f>
        <v/>
      </c>
      <c r="D75" s="19" t="n">
        <v>340</v>
      </c>
      <c r="E75" s="18" t="n">
        <v>66.06395024</v>
      </c>
      <c r="F75" s="20" t="n">
        <v>2.69615363</v>
      </c>
      <c r="G75" s="18" t="n">
        <v>12.55334554</v>
      </c>
      <c r="H75" s="20" t="n">
        <v>1.64158894</v>
      </c>
      <c r="I75" s="18" t="s">
        <v>349</v>
      </c>
      <c r="J75" s="20" t="s">
        <v>349</v>
      </c>
      <c r="K75" s="18" t="n">
        <v>4.68084393</v>
      </c>
      <c r="L75" s="20" t="n">
        <v>1.20793069</v>
      </c>
      <c r="M75" s="18" t="n">
        <v>0</v>
      </c>
      <c r="N75" s="20" t="n">
        <v>0</v>
      </c>
      <c r="O75" s="18" t="n">
        <v>0</v>
      </c>
      <c r="P75" s="20" t="n">
        <v>0</v>
      </c>
      <c r="Q75" s="18" t="n">
        <v>16.70186029</v>
      </c>
      <c r="R75" s="20" t="n">
        <v>2.27820875</v>
      </c>
    </row>
    <row r="76" spans="1:18">
      <c r="A76" s="15" t="s">
        <v>418</v>
      </c>
      <c r="B76" s="17" t="n">
        <v>7115</v>
      </c>
      <c r="C76" s="18">
        <f>(6235.0/B76*100)</f>
        <v/>
      </c>
      <c r="D76" s="19" t="n">
        <v>880</v>
      </c>
      <c r="E76" s="18" t="n">
        <v>74.1216422</v>
      </c>
      <c r="F76" s="20" t="n">
        <v>1.76618684</v>
      </c>
      <c r="G76" s="18" t="n">
        <v>20.32982488</v>
      </c>
      <c r="H76" s="20" t="n">
        <v>1.76511382</v>
      </c>
      <c r="I76" s="18" t="s">
        <v>349</v>
      </c>
      <c r="J76" s="20" t="s">
        <v>349</v>
      </c>
      <c r="K76" s="18" t="n">
        <v>0.64718518</v>
      </c>
      <c r="L76" s="20" t="n">
        <v>0.32556935</v>
      </c>
      <c r="M76" s="18" t="n">
        <v>0</v>
      </c>
      <c r="N76" s="20" t="n">
        <v>0</v>
      </c>
      <c r="O76" s="18" t="n">
        <v>0</v>
      </c>
      <c r="P76" s="20" t="n">
        <v>0</v>
      </c>
      <c r="Q76" s="18" t="n">
        <v>4.90134774</v>
      </c>
      <c r="R76" s="20" t="n">
        <v>0.853696</v>
      </c>
    </row>
    <row r="77" spans="1:18">
      <c r="A77" s="15" t="s">
        <v>419</v>
      </c>
      <c r="B77" s="17" t="n">
        <v>3154</v>
      </c>
      <c r="C77" s="18">
        <f>(2774.0/B77*100)</f>
        <v/>
      </c>
      <c r="D77" s="19" t="n">
        <v>380</v>
      </c>
      <c r="E77" s="18" t="n">
        <v>65.99817671</v>
      </c>
      <c r="F77" s="20" t="n">
        <v>2.53505033</v>
      </c>
      <c r="G77" s="18" t="n">
        <v>11.24844871</v>
      </c>
      <c r="H77" s="20" t="n">
        <v>1.27138406</v>
      </c>
      <c r="I77" s="18" t="s">
        <v>349</v>
      </c>
      <c r="J77" s="20" t="s">
        <v>349</v>
      </c>
      <c r="K77" s="18" t="n">
        <v>3.86613793</v>
      </c>
      <c r="L77" s="20" t="n">
        <v>1.12403197</v>
      </c>
      <c r="M77" s="18" t="n">
        <v>2.10286046</v>
      </c>
      <c r="N77" s="20" t="n">
        <v>0.68460549</v>
      </c>
      <c r="O77" s="18" t="n">
        <v>0</v>
      </c>
      <c r="P77" s="20" t="n">
        <v>0</v>
      </c>
      <c r="Q77" s="18" t="n">
        <v>16.78437619</v>
      </c>
      <c r="R77" s="20" t="n">
        <v>1.83959515</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(4106.0/B81*100)</f>
        <v/>
      </c>
      <c r="D81" s="19" t="n">
        <v>592</v>
      </c>
      <c r="E81" s="18" t="n">
        <v>91.53688683999999</v>
      </c>
      <c r="F81" s="20" t="n">
        <v>1.6034926</v>
      </c>
      <c r="G81" s="18" t="n">
        <v>6.24668886</v>
      </c>
      <c r="H81" s="20" t="n">
        <v>1.44351883</v>
      </c>
      <c r="I81" s="18" t="s">
        <v>349</v>
      </c>
      <c r="J81" s="20" t="s">
        <v>349</v>
      </c>
      <c r="K81" s="18" t="n">
        <v>0</v>
      </c>
      <c r="L81" s="20" t="n">
        <v>0</v>
      </c>
      <c r="M81" s="18" t="n">
        <v>0</v>
      </c>
      <c r="N81" s="20" t="n">
        <v>0</v>
      </c>
      <c r="O81" s="18" t="n">
        <v>0</v>
      </c>
      <c r="P81" s="20" t="n">
        <v>0</v>
      </c>
      <c r="Q81" s="18" t="n">
        <v>2.21642429</v>
      </c>
      <c r="R81" s="20" t="n">
        <v>0.62613332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505</v>
      </c>
    </row>
    <row customHeight="1" ht="30" r="4" spans="1:20">
      <c r="A4" s="6" t="n"/>
      <c r="B4" s="7" t="s">
        <v>333</v>
      </c>
      <c r="C4" s="7" t="s">
        <v>334</v>
      </c>
      <c r="D4" s="8" t="s">
        <v>333</v>
      </c>
      <c r="E4" s="9" t="s">
        <v>335</v>
      </c>
      <c r="F4" s="10" t="n"/>
      <c r="G4" s="9" t="s">
        <v>506</v>
      </c>
      <c r="H4" s="10" t="n"/>
      <c r="I4" s="9" t="s">
        <v>336</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7163</v>
      </c>
      <c r="C7" s="18">
        <f>(6290.0/B7*100)</f>
        <v/>
      </c>
      <c r="D7" s="19" t="n">
        <v>873</v>
      </c>
      <c r="E7" s="18" t="n">
        <v>81.16045686</v>
      </c>
      <c r="F7" s="20" t="n">
        <v>1.62977266</v>
      </c>
      <c r="G7" s="18" t="n">
        <v>3.32324536</v>
      </c>
      <c r="H7" s="20" t="n">
        <v>0.82604015</v>
      </c>
      <c r="I7" s="18" t="n">
        <v>6.47323465</v>
      </c>
      <c r="J7" s="20" t="n">
        <v>0.80956911</v>
      </c>
      <c r="K7" s="18" t="s">
        <v>349</v>
      </c>
      <c r="L7" s="20" t="s">
        <v>349</v>
      </c>
      <c r="M7" s="18" t="n">
        <v>0.63942004</v>
      </c>
      <c r="N7" s="20" t="n">
        <v>0.21314409</v>
      </c>
      <c r="O7" s="18" t="n">
        <v>0</v>
      </c>
      <c r="P7" s="20" t="n">
        <v>0</v>
      </c>
      <c r="Q7" s="18" t="n">
        <v>0</v>
      </c>
      <c r="R7" s="20" t="n">
        <v>0</v>
      </c>
      <c r="S7" s="18" t="n">
        <v>8.4036431</v>
      </c>
      <c r="T7" s="20" t="n">
        <v>1.21920839</v>
      </c>
    </row>
    <row r="8" spans="1:20">
      <c r="A8" s="15" t="s">
        <v>350</v>
      </c>
      <c r="B8" s="17" t="n">
        <v>3443</v>
      </c>
      <c r="C8" s="18">
        <f>(3011.0/B8*100)</f>
        <v/>
      </c>
      <c r="D8" s="19" t="n">
        <v>432</v>
      </c>
      <c r="E8" s="18" t="n">
        <v>70.21072692</v>
      </c>
      <c r="F8" s="20" t="n">
        <v>2.29876504</v>
      </c>
      <c r="G8" s="18" t="n">
        <v>5.23203825</v>
      </c>
      <c r="H8" s="20" t="n">
        <v>1.10483921</v>
      </c>
      <c r="I8" s="18" t="n">
        <v>6.31582321</v>
      </c>
      <c r="J8" s="20" t="n">
        <v>1.20124961</v>
      </c>
      <c r="K8" s="18" t="s">
        <v>349</v>
      </c>
      <c r="L8" s="20" t="s">
        <v>349</v>
      </c>
      <c r="M8" s="18" t="n">
        <v>1.58441978</v>
      </c>
      <c r="N8" s="20" t="n">
        <v>0.70351357</v>
      </c>
      <c r="O8" s="18" t="n">
        <v>0</v>
      </c>
      <c r="P8" s="20" t="n">
        <v>0</v>
      </c>
      <c r="Q8" s="18" t="n">
        <v>0</v>
      </c>
      <c r="R8" s="20" t="n">
        <v>0</v>
      </c>
      <c r="S8" s="18" t="n">
        <v>16.65699184</v>
      </c>
      <c r="T8" s="20" t="n">
        <v>2.15658889</v>
      </c>
    </row>
    <row r="9" spans="1:20">
      <c r="A9" s="15" t="s">
        <v>351</v>
      </c>
      <c r="B9" s="17" t="n">
        <v>4752</v>
      </c>
      <c r="C9" s="18">
        <f>(4167.0/B9*100)</f>
        <v/>
      </c>
      <c r="D9" s="19" t="n">
        <v>585</v>
      </c>
      <c r="E9" s="18" t="n">
        <v>65.50456269999999</v>
      </c>
      <c r="F9" s="20" t="n">
        <v>1.96164387</v>
      </c>
      <c r="G9" s="18" t="n">
        <v>10.6351915</v>
      </c>
      <c r="H9" s="20" t="n">
        <v>1.28815396</v>
      </c>
      <c r="I9" s="18" t="n">
        <v>10.64317478</v>
      </c>
      <c r="J9" s="20" t="n">
        <v>1.30496857</v>
      </c>
      <c r="K9" s="18" t="s">
        <v>349</v>
      </c>
      <c r="L9" s="20" t="s">
        <v>349</v>
      </c>
      <c r="M9" s="18" t="n">
        <v>1.67559497</v>
      </c>
      <c r="N9" s="20" t="n">
        <v>0.64615409</v>
      </c>
      <c r="O9" s="18" t="n">
        <v>0</v>
      </c>
      <c r="P9" s="20" t="n">
        <v>0</v>
      </c>
      <c r="Q9" s="18" t="n">
        <v>0</v>
      </c>
      <c r="R9" s="20" t="n">
        <v>0</v>
      </c>
      <c r="S9" s="18" t="n">
        <v>11.54147606</v>
      </c>
      <c r="T9" s="20" t="n">
        <v>1.48686908</v>
      </c>
    </row>
    <row r="10" spans="1:20">
      <c r="A10" s="15" t="s">
        <v>352</v>
      </c>
      <c r="B10" s="17" t="n">
        <v>10022</v>
      </c>
      <c r="C10" s="18">
        <f>(8759.0/B10*100)</f>
        <v/>
      </c>
      <c r="D10" s="19" t="n">
        <v>1263</v>
      </c>
      <c r="E10" s="18" t="n">
        <v>77.08721817999999</v>
      </c>
      <c r="F10" s="20" t="n">
        <v>1.82960248</v>
      </c>
      <c r="G10" s="18" t="n">
        <v>8.4237188</v>
      </c>
      <c r="H10" s="20" t="n">
        <v>1.00972021</v>
      </c>
      <c r="I10" s="18" t="n">
        <v>10.10378566</v>
      </c>
      <c r="J10" s="20" t="n">
        <v>1.41627889</v>
      </c>
      <c r="K10" s="18" t="s">
        <v>349</v>
      </c>
      <c r="L10" s="20" t="s">
        <v>349</v>
      </c>
      <c r="M10" s="18" t="n">
        <v>0.24674348</v>
      </c>
      <c r="N10" s="20" t="n">
        <v>0.11545636</v>
      </c>
      <c r="O10" s="18" t="n">
        <v>0</v>
      </c>
      <c r="P10" s="20" t="n">
        <v>0</v>
      </c>
      <c r="Q10" s="18" t="n">
        <v>0</v>
      </c>
      <c r="R10" s="20" t="n">
        <v>0</v>
      </c>
      <c r="S10" s="18" t="n">
        <v>4.13853387</v>
      </c>
      <c r="T10" s="20" t="n">
        <v>0.69100357</v>
      </c>
    </row>
    <row r="11" spans="1:20">
      <c r="A11" s="15" t="s">
        <v>353</v>
      </c>
      <c r="B11" s="17" t="n">
        <v>3500</v>
      </c>
      <c r="C11" s="18">
        <f>(3086.0/B11*100)</f>
        <v/>
      </c>
      <c r="D11" s="19" t="n">
        <v>414</v>
      </c>
      <c r="E11" s="18" t="n">
        <v>73.49257072</v>
      </c>
      <c r="F11" s="20" t="n">
        <v>1.81173906</v>
      </c>
      <c r="G11" s="18" t="n">
        <v>0.54133538</v>
      </c>
      <c r="H11" s="20" t="n">
        <v>0.35383252</v>
      </c>
      <c r="I11" s="18" t="n">
        <v>1.5898751</v>
      </c>
      <c r="J11" s="20" t="n">
        <v>0.61751415</v>
      </c>
      <c r="K11" s="18" t="s">
        <v>349</v>
      </c>
      <c r="L11" s="20" t="s">
        <v>349</v>
      </c>
      <c r="M11" s="18" t="n">
        <v>2.12732837</v>
      </c>
      <c r="N11" s="20" t="n">
        <v>0.57466731</v>
      </c>
      <c r="O11" s="18" t="n">
        <v>0</v>
      </c>
      <c r="P11" s="20" t="n">
        <v>0</v>
      </c>
      <c r="Q11" s="18" t="n">
        <v>0</v>
      </c>
      <c r="R11" s="20" t="n">
        <v>0</v>
      </c>
      <c r="S11" s="18" t="n">
        <v>22.24889043</v>
      </c>
      <c r="T11" s="20" t="n">
        <v>1.71780109</v>
      </c>
    </row>
    <row r="12" spans="1:20">
      <c r="A12" s="15" t="s">
        <v>354</v>
      </c>
      <c r="B12" s="17" t="n">
        <v>3422</v>
      </c>
      <c r="C12" s="18">
        <f>(3037.0/B12*100)</f>
        <v/>
      </c>
      <c r="D12" s="19" t="n">
        <v>385</v>
      </c>
      <c r="E12" s="18" t="n">
        <v>74.92729088</v>
      </c>
      <c r="F12" s="20" t="n">
        <v>2.59598222</v>
      </c>
      <c r="G12" s="18" t="n">
        <v>3.88593168</v>
      </c>
      <c r="H12" s="20" t="n">
        <v>1.11043357</v>
      </c>
      <c r="I12" s="18" t="n">
        <v>5.4605107</v>
      </c>
      <c r="J12" s="20" t="n">
        <v>1.05099016</v>
      </c>
      <c r="K12" s="18" t="s">
        <v>349</v>
      </c>
      <c r="L12" s="20" t="s">
        <v>349</v>
      </c>
      <c r="M12" s="18" t="n">
        <v>0.7403714</v>
      </c>
      <c r="N12" s="20" t="n">
        <v>0.52173843</v>
      </c>
      <c r="O12" s="18" t="n">
        <v>0</v>
      </c>
      <c r="P12" s="20" t="n">
        <v>0</v>
      </c>
      <c r="Q12" s="18" t="n">
        <v>0</v>
      </c>
      <c r="R12" s="20" t="n">
        <v>0</v>
      </c>
      <c r="S12" s="18" t="n">
        <v>14.98589534</v>
      </c>
      <c r="T12" s="20" t="n">
        <v>1.97930832</v>
      </c>
    </row>
    <row r="13" spans="1:20">
      <c r="A13" s="15" t="s">
        <v>355</v>
      </c>
      <c r="B13" s="17" t="n">
        <v>3602</v>
      </c>
      <c r="C13" s="18">
        <f>(3173.0/B13*100)</f>
        <v/>
      </c>
      <c r="D13" s="19" t="n">
        <v>429</v>
      </c>
      <c r="E13" s="18" t="n">
        <v>76.03850244</v>
      </c>
      <c r="F13" s="20" t="n">
        <v>2.4549422</v>
      </c>
      <c r="G13" s="18" t="n">
        <v>4.25721233</v>
      </c>
      <c r="H13" s="20" t="n">
        <v>1.07082687</v>
      </c>
      <c r="I13" s="18" t="n">
        <v>9.408030979999999</v>
      </c>
      <c r="J13" s="20" t="n">
        <v>1.71360602</v>
      </c>
      <c r="K13" s="18" t="s">
        <v>349</v>
      </c>
      <c r="L13" s="20" t="s">
        <v>349</v>
      </c>
      <c r="M13" s="18" t="n">
        <v>1.50142246</v>
      </c>
      <c r="N13" s="20" t="n">
        <v>0.67248469</v>
      </c>
      <c r="O13" s="18" t="n">
        <v>0</v>
      </c>
      <c r="P13" s="20" t="n">
        <v>0</v>
      </c>
      <c r="Q13" s="18" t="n">
        <v>0</v>
      </c>
      <c r="R13" s="20" t="n">
        <v>0</v>
      </c>
      <c r="S13" s="18" t="n">
        <v>8.794831800000001</v>
      </c>
      <c r="T13" s="20" t="n">
        <v>1.3669552</v>
      </c>
    </row>
    <row r="14" spans="1:20">
      <c r="A14" s="15" t="s">
        <v>356</v>
      </c>
      <c r="B14" s="17" t="n">
        <v>2788</v>
      </c>
      <c r="C14" s="18">
        <f>(2458.0/B14*100)</f>
        <v/>
      </c>
      <c r="D14" s="19" t="n">
        <v>330</v>
      </c>
      <c r="E14" s="18" t="n">
        <v>78.33875372</v>
      </c>
      <c r="F14" s="20" t="n">
        <v>2.56259068</v>
      </c>
      <c r="G14" s="18" t="n">
        <v>4.22781335</v>
      </c>
      <c r="H14" s="20" t="n">
        <v>0.97505506</v>
      </c>
      <c r="I14" s="18" t="n">
        <v>7.76902448</v>
      </c>
      <c r="J14" s="20" t="n">
        <v>1.50099282</v>
      </c>
      <c r="K14" s="18" t="s">
        <v>349</v>
      </c>
      <c r="L14" s="20" t="s">
        <v>349</v>
      </c>
      <c r="M14" s="18" t="n">
        <v>0.51480633</v>
      </c>
      <c r="N14" s="20" t="n">
        <v>0.37451683</v>
      </c>
      <c r="O14" s="18" t="n">
        <v>0</v>
      </c>
      <c r="P14" s="20" t="n">
        <v>0</v>
      </c>
      <c r="Q14" s="18" t="n">
        <v>0</v>
      </c>
      <c r="R14" s="20" t="n">
        <v>0</v>
      </c>
      <c r="S14" s="18" t="n">
        <v>9.149602120000001</v>
      </c>
      <c r="T14" s="20" t="n">
        <v>1.542104</v>
      </c>
    </row>
    <row r="15" spans="1:20">
      <c r="A15" s="15" t="s">
        <v>357</v>
      </c>
      <c r="B15" s="17" t="n">
        <v>2863</v>
      </c>
      <c r="C15" s="18">
        <f>(2519.0/B15*100)</f>
        <v/>
      </c>
      <c r="D15" s="19" t="n">
        <v>344</v>
      </c>
      <c r="E15" s="18" t="n">
        <v>74.52905056</v>
      </c>
      <c r="F15" s="20" t="n">
        <v>2.73153577</v>
      </c>
      <c r="G15" s="18" t="n">
        <v>1.96186073</v>
      </c>
      <c r="H15" s="20" t="n">
        <v>0.7547811800000001</v>
      </c>
      <c r="I15" s="18" t="n">
        <v>10.15910903</v>
      </c>
      <c r="J15" s="20" t="n">
        <v>1.63559555</v>
      </c>
      <c r="K15" s="18" t="s">
        <v>349</v>
      </c>
      <c r="L15" s="20" t="s">
        <v>349</v>
      </c>
      <c r="M15" s="18" t="n">
        <v>0.90409983</v>
      </c>
      <c r="N15" s="20" t="n">
        <v>0.5308608</v>
      </c>
      <c r="O15" s="18" t="n">
        <v>0</v>
      </c>
      <c r="P15" s="20" t="n">
        <v>0</v>
      </c>
      <c r="Q15" s="18" t="n">
        <v>0</v>
      </c>
      <c r="R15" s="20" t="n">
        <v>0</v>
      </c>
      <c r="S15" s="18" t="n">
        <v>12.44587984</v>
      </c>
      <c r="T15" s="20" t="n">
        <v>2.18816575</v>
      </c>
    </row>
    <row r="16" spans="1:20">
      <c r="A16" s="15" t="s">
        <v>358</v>
      </c>
      <c r="B16" s="17" t="n">
        <v>3111</v>
      </c>
      <c r="C16" s="18">
        <f>(2742.0/B16*100)</f>
        <v/>
      </c>
      <c r="D16" s="19" t="n">
        <v>369</v>
      </c>
      <c r="E16" s="18" t="n">
        <v>59.8517904</v>
      </c>
      <c r="F16" s="20" t="n">
        <v>2.36357003</v>
      </c>
      <c r="G16" s="18" t="n">
        <v>7.77943687</v>
      </c>
      <c r="H16" s="20" t="n">
        <v>1.50646954</v>
      </c>
      <c r="I16" s="18" t="n">
        <v>8.02584899</v>
      </c>
      <c r="J16" s="20" t="n">
        <v>1.39397861</v>
      </c>
      <c r="K16" s="18" t="s">
        <v>349</v>
      </c>
      <c r="L16" s="20" t="s">
        <v>349</v>
      </c>
      <c r="M16" s="18" t="n">
        <v>2.81674436</v>
      </c>
      <c r="N16" s="20" t="n">
        <v>0.93430167</v>
      </c>
      <c r="O16" s="18" t="n">
        <v>0</v>
      </c>
      <c r="P16" s="20" t="n">
        <v>0</v>
      </c>
      <c r="Q16" s="18" t="n">
        <v>0</v>
      </c>
      <c r="R16" s="20" t="n">
        <v>0</v>
      </c>
      <c r="S16" s="18" t="n">
        <v>21.52617938</v>
      </c>
      <c r="T16" s="20" t="n">
        <v>2.22767417</v>
      </c>
    </row>
    <row r="17" spans="1:20">
      <c r="A17" s="15" t="s">
        <v>359</v>
      </c>
      <c r="B17" s="17" t="n">
        <v>3197</v>
      </c>
      <c r="C17" s="18">
        <f>(2818.0/B17*100)</f>
        <v/>
      </c>
      <c r="D17" s="19" t="n">
        <v>379</v>
      </c>
      <c r="E17" s="18" t="n">
        <v>75.35849073</v>
      </c>
      <c r="F17" s="20" t="n">
        <v>2.57724084</v>
      </c>
      <c r="G17" s="18" t="n">
        <v>5.90420007</v>
      </c>
      <c r="H17" s="20" t="n">
        <v>1.35283075</v>
      </c>
      <c r="I17" s="18" t="n">
        <v>4.92877582</v>
      </c>
      <c r="J17" s="20" t="n">
        <v>1.40508318</v>
      </c>
      <c r="K17" s="18" t="s">
        <v>349</v>
      </c>
      <c r="L17" s="20" t="s">
        <v>349</v>
      </c>
      <c r="M17" s="18" t="n">
        <v>0</v>
      </c>
      <c r="N17" s="20" t="n">
        <v>0</v>
      </c>
      <c r="O17" s="18" t="n">
        <v>0</v>
      </c>
      <c r="P17" s="20" t="n">
        <v>0</v>
      </c>
      <c r="Q17" s="18" t="n">
        <v>0</v>
      </c>
      <c r="R17" s="20" t="n">
        <v>0</v>
      </c>
      <c r="S17" s="18" t="n">
        <v>13.80853339</v>
      </c>
      <c r="T17" s="20" t="n">
        <v>1.71483729</v>
      </c>
    </row>
    <row r="18" spans="1:20">
      <c r="A18" s="15" t="s">
        <v>360</v>
      </c>
      <c r="B18" s="17" t="n">
        <v>2706</v>
      </c>
      <c r="C18" s="18">
        <f>(2385.0/B18*100)</f>
        <v/>
      </c>
      <c r="D18" s="19" t="n">
        <v>321</v>
      </c>
      <c r="E18" s="18" t="n">
        <v>82.45789376</v>
      </c>
      <c r="F18" s="20" t="n">
        <v>2.0384501</v>
      </c>
      <c r="G18" s="18" t="n">
        <v>3.93378901</v>
      </c>
      <c r="H18" s="20" t="n">
        <v>1.00804475</v>
      </c>
      <c r="I18" s="18" t="n">
        <v>1.64457035</v>
      </c>
      <c r="J18" s="20" t="n">
        <v>0.73147008</v>
      </c>
      <c r="K18" s="18" t="s">
        <v>349</v>
      </c>
      <c r="L18" s="20" t="s">
        <v>349</v>
      </c>
      <c r="M18" s="18" t="n">
        <v>0.94919652</v>
      </c>
      <c r="N18" s="20" t="n">
        <v>0.45565281</v>
      </c>
      <c r="O18" s="18" t="n">
        <v>0</v>
      </c>
      <c r="P18" s="20" t="n">
        <v>0</v>
      </c>
      <c r="Q18" s="18" t="n">
        <v>0</v>
      </c>
      <c r="R18" s="20" t="n">
        <v>0</v>
      </c>
      <c r="S18" s="18" t="n">
        <v>11.01455036</v>
      </c>
      <c r="T18" s="20" t="n">
        <v>1.7868129</v>
      </c>
    </row>
    <row r="19" spans="1:20">
      <c r="A19" s="15" t="s">
        <v>361</v>
      </c>
      <c r="B19" s="17" t="n">
        <v>2850</v>
      </c>
      <c r="C19" s="18">
        <f>(2528.0/B19*100)</f>
        <v/>
      </c>
      <c r="D19" s="19" t="n">
        <v>322</v>
      </c>
      <c r="E19" s="18" t="n">
        <v>73.8126281</v>
      </c>
      <c r="F19" s="20" t="n">
        <v>2.44307045</v>
      </c>
      <c r="G19" s="18" t="n">
        <v>4.42639386</v>
      </c>
      <c r="H19" s="20" t="n">
        <v>1.15496612</v>
      </c>
      <c r="I19" s="18" t="n">
        <v>4.29250915</v>
      </c>
      <c r="J19" s="20" t="n">
        <v>1.21501208</v>
      </c>
      <c r="K19" s="18" t="s">
        <v>349</v>
      </c>
      <c r="L19" s="20" t="s">
        <v>349</v>
      </c>
      <c r="M19" s="18" t="n">
        <v>1.09716319</v>
      </c>
      <c r="N19" s="20" t="n">
        <v>0.55495143</v>
      </c>
      <c r="O19" s="18" t="n">
        <v>0</v>
      </c>
      <c r="P19" s="20" t="n">
        <v>0</v>
      </c>
      <c r="Q19" s="18" t="n">
        <v>0</v>
      </c>
      <c r="R19" s="20" t="n">
        <v>0</v>
      </c>
      <c r="S19" s="18" t="n">
        <v>16.37130569</v>
      </c>
      <c r="T19" s="20" t="n">
        <v>2.25517986</v>
      </c>
    </row>
    <row r="20" spans="1:20">
      <c r="A20" s="15" t="s">
        <v>362</v>
      </c>
      <c r="B20" s="17" t="n">
        <v>1741</v>
      </c>
      <c r="C20" s="18">
        <f>(1530.0/B20*100)</f>
        <v/>
      </c>
      <c r="D20" s="19" t="n">
        <v>211</v>
      </c>
      <c r="E20" s="18" t="n">
        <v>72.84945822</v>
      </c>
      <c r="F20" s="20" t="n">
        <v>3.16168962</v>
      </c>
      <c r="G20" s="18" t="n">
        <v>2.58718378</v>
      </c>
      <c r="H20" s="20" t="n">
        <v>1.16123653</v>
      </c>
      <c r="I20" s="18" t="n">
        <v>8.239238390000001</v>
      </c>
      <c r="J20" s="20" t="n">
        <v>1.80592965</v>
      </c>
      <c r="K20" s="18" t="s">
        <v>349</v>
      </c>
      <c r="L20" s="20" t="s">
        <v>349</v>
      </c>
      <c r="M20" s="18" t="n">
        <v>2.65241937</v>
      </c>
      <c r="N20" s="20" t="n">
        <v>1.19346481</v>
      </c>
      <c r="O20" s="18" t="n">
        <v>0</v>
      </c>
      <c r="P20" s="20" t="n">
        <v>0</v>
      </c>
      <c r="Q20" s="18" t="n">
        <v>0</v>
      </c>
      <c r="R20" s="20" t="n">
        <v>0</v>
      </c>
      <c r="S20" s="18" t="n">
        <v>13.67170024</v>
      </c>
      <c r="T20" s="20" t="n">
        <v>2.38457815</v>
      </c>
    </row>
    <row r="21" spans="1:20">
      <c r="A21" s="15" t="s">
        <v>363</v>
      </c>
      <c r="B21" s="17" t="n">
        <v>2833</v>
      </c>
      <c r="C21" s="18">
        <f>(2378.0/B21*100)</f>
        <v/>
      </c>
      <c r="D21" s="19" t="n">
        <v>455</v>
      </c>
      <c r="E21" s="18" t="n">
        <v>86.15318653999999</v>
      </c>
      <c r="F21" s="20" t="n">
        <v>1.72558657</v>
      </c>
      <c r="G21" s="18" t="n">
        <v>6.2311194</v>
      </c>
      <c r="H21" s="20" t="n">
        <v>1.43809464</v>
      </c>
      <c r="I21" s="18" t="n">
        <v>4.11684942</v>
      </c>
      <c r="J21" s="20" t="n">
        <v>0.9250353100000001</v>
      </c>
      <c r="K21" s="18" t="s">
        <v>349</v>
      </c>
      <c r="L21" s="20" t="s">
        <v>349</v>
      </c>
      <c r="M21" s="18" t="n">
        <v>0.20275626</v>
      </c>
      <c r="N21" s="20" t="n">
        <v>0.20157907</v>
      </c>
      <c r="O21" s="18" t="n">
        <v>0</v>
      </c>
      <c r="P21" s="20" t="n">
        <v>0</v>
      </c>
      <c r="Q21" s="18" t="n">
        <v>0</v>
      </c>
      <c r="R21" s="20" t="n">
        <v>0</v>
      </c>
      <c r="S21" s="18" t="n">
        <v>3.29608839</v>
      </c>
      <c r="T21" s="20" t="n">
        <v>0.8994413</v>
      </c>
    </row>
    <row r="22" spans="1:20">
      <c r="A22" s="15" t="s">
        <v>364</v>
      </c>
      <c r="B22" s="17" t="n">
        <v>3667</v>
      </c>
      <c r="C22" s="18">
        <f>(3198.0/B22*100)</f>
        <v/>
      </c>
      <c r="D22" s="19" t="n">
        <v>469</v>
      </c>
      <c r="E22" s="18" t="n">
        <v>70.74219841</v>
      </c>
      <c r="F22" s="20" t="n">
        <v>2.1508815</v>
      </c>
      <c r="G22" s="18" t="n">
        <v>4.74810632</v>
      </c>
      <c r="H22" s="20" t="n">
        <v>1.05167328</v>
      </c>
      <c r="I22" s="18" t="n">
        <v>2.82932941</v>
      </c>
      <c r="J22" s="20" t="n">
        <v>0.84410616</v>
      </c>
      <c r="K22" s="18" t="s">
        <v>349</v>
      </c>
      <c r="L22" s="20" t="s">
        <v>349</v>
      </c>
      <c r="M22" s="18" t="n">
        <v>3.62479175</v>
      </c>
      <c r="N22" s="20" t="n">
        <v>0.79555308</v>
      </c>
      <c r="O22" s="18" t="n">
        <v>0</v>
      </c>
      <c r="P22" s="20" t="n">
        <v>0</v>
      </c>
      <c r="Q22" s="18" t="n">
        <v>0</v>
      </c>
      <c r="R22" s="20" t="n">
        <v>0</v>
      </c>
      <c r="S22" s="18" t="n">
        <v>18.05557412</v>
      </c>
      <c r="T22" s="20" t="n">
        <v>1.7387966</v>
      </c>
    </row>
    <row r="23" spans="1:20">
      <c r="A23" s="15" t="s">
        <v>365</v>
      </c>
      <c r="B23" s="17" t="n">
        <v>5792</v>
      </c>
      <c r="C23" s="18">
        <f>(5056.0/B23*100)</f>
        <v/>
      </c>
      <c r="D23" s="19" t="n">
        <v>736</v>
      </c>
      <c r="E23" s="18" t="n">
        <v>70.00579793</v>
      </c>
      <c r="F23" s="20" t="n">
        <v>2.41491579</v>
      </c>
      <c r="G23" s="18" t="n">
        <v>5.36114355</v>
      </c>
      <c r="H23" s="20" t="n">
        <v>1.18495979</v>
      </c>
      <c r="I23" s="18" t="n">
        <v>1.75097872</v>
      </c>
      <c r="J23" s="20" t="n">
        <v>0.46679809</v>
      </c>
      <c r="K23" s="18" t="s">
        <v>349</v>
      </c>
      <c r="L23" s="20" t="s">
        <v>349</v>
      </c>
      <c r="M23" s="18" t="n">
        <v>1.88300719</v>
      </c>
      <c r="N23" s="20" t="n">
        <v>0.71978883</v>
      </c>
      <c r="O23" s="18" t="n">
        <v>0</v>
      </c>
      <c r="P23" s="20" t="n">
        <v>0</v>
      </c>
      <c r="Q23" s="18" t="n">
        <v>0</v>
      </c>
      <c r="R23" s="20" t="n">
        <v>0</v>
      </c>
      <c r="S23" s="18" t="n">
        <v>20.99907261</v>
      </c>
      <c r="T23" s="20" t="n">
        <v>2.29825356</v>
      </c>
    </row>
    <row r="24" spans="1:20">
      <c r="A24" s="15" t="s">
        <v>366</v>
      </c>
      <c r="B24" s="17" t="n">
        <v>3309</v>
      </c>
      <c r="C24" s="18">
        <f>(2908.0/B24*100)</f>
        <v/>
      </c>
      <c r="D24" s="19" t="n">
        <v>401</v>
      </c>
      <c r="E24" s="18" t="n">
        <v>73.65828297</v>
      </c>
      <c r="F24" s="20" t="n">
        <v>2.64319494</v>
      </c>
      <c r="G24" s="18" t="n">
        <v>3.29266585</v>
      </c>
      <c r="H24" s="20" t="n">
        <v>0.89812996</v>
      </c>
      <c r="I24" s="18" t="n">
        <v>10.47102457</v>
      </c>
      <c r="J24" s="20" t="n">
        <v>1.88008092</v>
      </c>
      <c r="K24" s="18" t="s">
        <v>349</v>
      </c>
      <c r="L24" s="20" t="s">
        <v>349</v>
      </c>
      <c r="M24" s="18" t="n">
        <v>0</v>
      </c>
      <c r="N24" s="20" t="n">
        <v>0</v>
      </c>
      <c r="O24" s="18" t="n">
        <v>0</v>
      </c>
      <c r="P24" s="20" t="n">
        <v>0</v>
      </c>
      <c r="Q24" s="18" t="n">
        <v>0</v>
      </c>
      <c r="R24" s="20" t="n">
        <v>0</v>
      </c>
      <c r="S24" s="18" t="n">
        <v>12.57802662</v>
      </c>
      <c r="T24" s="20" t="n">
        <v>1.74186609</v>
      </c>
    </row>
    <row r="25" spans="1:20">
      <c r="A25" s="15" t="s">
        <v>367</v>
      </c>
      <c r="B25" s="17" t="n">
        <v>2669</v>
      </c>
      <c r="C25" s="18">
        <f>(2343.0/B25*100)</f>
        <v/>
      </c>
      <c r="D25" s="19" t="n">
        <v>326</v>
      </c>
      <c r="E25" s="18" t="n">
        <v>74.34454402999999</v>
      </c>
      <c r="F25" s="20" t="n">
        <v>2.7188011</v>
      </c>
      <c r="G25" s="18" t="n">
        <v>2.57695535</v>
      </c>
      <c r="H25" s="20" t="n">
        <v>0.78350657</v>
      </c>
      <c r="I25" s="18" t="n">
        <v>13.9830287</v>
      </c>
      <c r="J25" s="20" t="n">
        <v>2.25599091</v>
      </c>
      <c r="K25" s="18" t="s">
        <v>349</v>
      </c>
      <c r="L25" s="20" t="s">
        <v>349</v>
      </c>
      <c r="M25" s="18" t="n">
        <v>0.58672406</v>
      </c>
      <c r="N25" s="20" t="n">
        <v>0.49847186</v>
      </c>
      <c r="O25" s="18" t="n">
        <v>0</v>
      </c>
      <c r="P25" s="20" t="n">
        <v>0</v>
      </c>
      <c r="Q25" s="18" t="n">
        <v>0</v>
      </c>
      <c r="R25" s="20" t="n">
        <v>0</v>
      </c>
      <c r="S25" s="18" t="n">
        <v>8.508747870000001</v>
      </c>
      <c r="T25" s="20" t="n">
        <v>1.72849015</v>
      </c>
    </row>
    <row r="26" spans="1:20">
      <c r="A26" s="15" t="s">
        <v>368</v>
      </c>
      <c r="B26" s="17" t="n">
        <v>2419</v>
      </c>
      <c r="C26" s="18">
        <f>(2130.0/B26*100)</f>
        <v/>
      </c>
      <c r="D26" s="19" t="n">
        <v>289</v>
      </c>
      <c r="E26" s="18" t="n">
        <v>79.44478286</v>
      </c>
      <c r="F26" s="20" t="n">
        <v>2.71843703</v>
      </c>
      <c r="G26" s="18" t="n">
        <v>5.35372421</v>
      </c>
      <c r="H26" s="20" t="n">
        <v>1.69466191</v>
      </c>
      <c r="I26" s="18" t="n">
        <v>3.76000619</v>
      </c>
      <c r="J26" s="20" t="n">
        <v>1.28595546</v>
      </c>
      <c r="K26" s="18" t="s">
        <v>349</v>
      </c>
      <c r="L26" s="20" t="s">
        <v>349</v>
      </c>
      <c r="M26" s="18" t="n">
        <v>1.52545387</v>
      </c>
      <c r="N26" s="20" t="n">
        <v>0.91471096</v>
      </c>
      <c r="O26" s="18" t="n">
        <v>0</v>
      </c>
      <c r="P26" s="20" t="n">
        <v>0</v>
      </c>
      <c r="Q26" s="18" t="n">
        <v>0</v>
      </c>
      <c r="R26" s="20" t="n">
        <v>0</v>
      </c>
      <c r="S26" s="18" t="n">
        <v>9.91603286</v>
      </c>
      <c r="T26" s="20" t="n">
        <v>1.58847431</v>
      </c>
    </row>
    <row r="27" spans="1:20">
      <c r="A27" s="15" t="s">
        <v>369</v>
      </c>
      <c r="B27" s="17" t="n">
        <v>2683</v>
      </c>
      <c r="C27" s="18">
        <f>(2354.0/B27*100)</f>
        <v/>
      </c>
      <c r="D27" s="19" t="n">
        <v>329</v>
      </c>
      <c r="E27" s="18" t="n">
        <v>77.41283156</v>
      </c>
      <c r="F27" s="20" t="n">
        <v>2.49716799</v>
      </c>
      <c r="G27" s="18" t="n">
        <v>5.75818474</v>
      </c>
      <c r="H27" s="20" t="n">
        <v>1.17354499</v>
      </c>
      <c r="I27" s="18" t="n">
        <v>4.81891311</v>
      </c>
      <c r="J27" s="20" t="n">
        <v>1.24441351</v>
      </c>
      <c r="K27" s="18" t="s">
        <v>349</v>
      </c>
      <c r="L27" s="20" t="s">
        <v>349</v>
      </c>
      <c r="M27" s="18" t="n">
        <v>0.30191135</v>
      </c>
      <c r="N27" s="20" t="n">
        <v>0.30125284</v>
      </c>
      <c r="O27" s="18" t="n">
        <v>0</v>
      </c>
      <c r="P27" s="20" t="n">
        <v>0</v>
      </c>
      <c r="Q27" s="18" t="n">
        <v>0</v>
      </c>
      <c r="R27" s="20" t="n">
        <v>0</v>
      </c>
      <c r="S27" s="18" t="n">
        <v>11.70815923</v>
      </c>
      <c r="T27" s="20" t="n">
        <v>1.85308401</v>
      </c>
    </row>
    <row r="28" spans="1:20">
      <c r="A28" s="15" t="s">
        <v>370</v>
      </c>
      <c r="B28" s="17" t="n">
        <v>3803</v>
      </c>
      <c r="C28" s="18">
        <f>(3378.0/B28*100)</f>
        <v/>
      </c>
      <c r="D28" s="19" t="n">
        <v>425</v>
      </c>
      <c r="E28" s="18" t="n">
        <v>88.73402603</v>
      </c>
      <c r="F28" s="20" t="n">
        <v>1.41586223</v>
      </c>
      <c r="G28" s="18" t="n">
        <v>4.13942789</v>
      </c>
      <c r="H28" s="20" t="n">
        <v>1.08772155</v>
      </c>
      <c r="I28" s="18" t="n">
        <v>0</v>
      </c>
      <c r="J28" s="20" t="n">
        <v>0</v>
      </c>
      <c r="K28" s="18" t="s">
        <v>349</v>
      </c>
      <c r="L28" s="20" t="s">
        <v>349</v>
      </c>
      <c r="M28" s="18" t="n">
        <v>0.68738204</v>
      </c>
      <c r="N28" s="20" t="n">
        <v>0.40919658</v>
      </c>
      <c r="O28" s="18" t="n">
        <v>0</v>
      </c>
      <c r="P28" s="20" t="n">
        <v>0</v>
      </c>
      <c r="Q28" s="18" t="n">
        <v>0</v>
      </c>
      <c r="R28" s="20" t="n">
        <v>0</v>
      </c>
      <c r="S28" s="18" t="n">
        <v>6.43916405</v>
      </c>
      <c r="T28" s="20" t="n">
        <v>1.14525551</v>
      </c>
    </row>
    <row r="29" spans="1:20">
      <c r="A29" s="15" t="s">
        <v>371</v>
      </c>
      <c r="B29" s="17" t="n">
        <v>2700</v>
      </c>
      <c r="C29" s="18">
        <f>(2368.0/B29*100)</f>
        <v/>
      </c>
      <c r="D29" s="19" t="n">
        <v>332</v>
      </c>
      <c r="E29" s="18" t="n">
        <v>72.51023005</v>
      </c>
      <c r="F29" s="20" t="n">
        <v>2.53531847</v>
      </c>
      <c r="G29" s="18" t="n">
        <v>10.04233929</v>
      </c>
      <c r="H29" s="20" t="n">
        <v>1.6421598</v>
      </c>
      <c r="I29" s="18" t="n">
        <v>10.77419746</v>
      </c>
      <c r="J29" s="20" t="n">
        <v>1.52007526</v>
      </c>
      <c r="K29" s="18" t="s">
        <v>349</v>
      </c>
      <c r="L29" s="20" t="s">
        <v>349</v>
      </c>
      <c r="M29" s="18" t="n">
        <v>0.31399312</v>
      </c>
      <c r="N29" s="20" t="n">
        <v>0.32331344</v>
      </c>
      <c r="O29" s="18" t="n">
        <v>0</v>
      </c>
      <c r="P29" s="20" t="n">
        <v>0</v>
      </c>
      <c r="Q29" s="18" t="n">
        <v>0</v>
      </c>
      <c r="R29" s="20" t="n">
        <v>0</v>
      </c>
      <c r="S29" s="18" t="n">
        <v>6.35924008</v>
      </c>
      <c r="T29" s="20" t="n">
        <v>1.55561267</v>
      </c>
    </row>
    <row r="30" spans="1:20">
      <c r="A30" s="15" t="s">
        <v>372</v>
      </c>
      <c r="B30" s="17" t="n">
        <v>2257</v>
      </c>
      <c r="C30" s="18">
        <f>(1961.0/B30*100)</f>
        <v/>
      </c>
      <c r="D30" s="19" t="n">
        <v>296</v>
      </c>
      <c r="E30" s="18" t="n">
        <v>78.4999969</v>
      </c>
      <c r="F30" s="20" t="n">
        <v>2.5019947</v>
      </c>
      <c r="G30" s="18" t="n">
        <v>2.49107327</v>
      </c>
      <c r="H30" s="20" t="n">
        <v>0.91399202</v>
      </c>
      <c r="I30" s="18" t="n">
        <v>7.07954699</v>
      </c>
      <c r="J30" s="20" t="n">
        <v>1.62305317</v>
      </c>
      <c r="K30" s="18" t="s">
        <v>349</v>
      </c>
      <c r="L30" s="20" t="s">
        <v>349</v>
      </c>
      <c r="M30" s="18" t="n">
        <v>1.24147966</v>
      </c>
      <c r="N30" s="20" t="n">
        <v>0.77116279</v>
      </c>
      <c r="O30" s="18" t="n">
        <v>0</v>
      </c>
      <c r="P30" s="20" t="n">
        <v>0</v>
      </c>
      <c r="Q30" s="18" t="n">
        <v>0</v>
      </c>
      <c r="R30" s="20" t="n">
        <v>0</v>
      </c>
      <c r="S30" s="18" t="n">
        <v>10.68790318</v>
      </c>
      <c r="T30" s="20" t="n">
        <v>1.76079288</v>
      </c>
    </row>
    <row r="31" spans="1:20">
      <c r="A31" s="15" t="s">
        <v>373</v>
      </c>
      <c r="B31" s="17" t="n">
        <v>2706</v>
      </c>
      <c r="C31" s="18">
        <f>(2390.0/B31*100)</f>
        <v/>
      </c>
      <c r="D31" s="19" t="n">
        <v>316</v>
      </c>
      <c r="E31" s="18" t="n">
        <v>69.28897006</v>
      </c>
      <c r="F31" s="20" t="n">
        <v>3.00712739</v>
      </c>
      <c r="G31" s="18" t="n">
        <v>4.24667313</v>
      </c>
      <c r="H31" s="20" t="n">
        <v>1.26064276</v>
      </c>
      <c r="I31" s="18" t="n">
        <v>3.86418918</v>
      </c>
      <c r="J31" s="20" t="n">
        <v>1.16442829</v>
      </c>
      <c r="K31" s="18" t="s">
        <v>349</v>
      </c>
      <c r="L31" s="20" t="s">
        <v>349</v>
      </c>
      <c r="M31" s="18" t="n">
        <v>2.90039108</v>
      </c>
      <c r="N31" s="20" t="n">
        <v>0.9397825400000001</v>
      </c>
      <c r="O31" s="18" t="n">
        <v>0</v>
      </c>
      <c r="P31" s="20" t="n">
        <v>0</v>
      </c>
      <c r="Q31" s="18" t="n">
        <v>0</v>
      </c>
      <c r="R31" s="20" t="n">
        <v>0</v>
      </c>
      <c r="S31" s="18" t="n">
        <v>19.69977655</v>
      </c>
      <c r="T31" s="20" t="n">
        <v>2.37109391</v>
      </c>
    </row>
    <row r="32" spans="1:20">
      <c r="A32" s="15" t="s">
        <v>374</v>
      </c>
      <c r="B32" s="17" t="n">
        <v>2209</v>
      </c>
      <c r="C32" s="18">
        <f>(1847.0/B32*100)</f>
        <v/>
      </c>
      <c r="D32" s="19" t="n">
        <v>362</v>
      </c>
      <c r="E32" s="18" t="n">
        <v>77.49121545</v>
      </c>
      <c r="F32" s="20" t="n">
        <v>2.52147484</v>
      </c>
      <c r="G32" s="18" t="n">
        <v>3.33836581</v>
      </c>
      <c r="H32" s="20" t="n">
        <v>1.07154611</v>
      </c>
      <c r="I32" s="18" t="n">
        <v>4.6784445</v>
      </c>
      <c r="J32" s="20" t="n">
        <v>1.67827695</v>
      </c>
      <c r="K32" s="18" t="s">
        <v>349</v>
      </c>
      <c r="L32" s="20" t="s">
        <v>349</v>
      </c>
      <c r="M32" s="18" t="n">
        <v>0.89075586</v>
      </c>
      <c r="N32" s="20" t="n">
        <v>0.4835451</v>
      </c>
      <c r="O32" s="18" t="n">
        <v>0</v>
      </c>
      <c r="P32" s="20" t="n">
        <v>0</v>
      </c>
      <c r="Q32" s="18" t="n">
        <v>0</v>
      </c>
      <c r="R32" s="20" t="n">
        <v>0</v>
      </c>
      <c r="S32" s="18" t="n">
        <v>13.60121837</v>
      </c>
      <c r="T32" s="20" t="n">
        <v>1.86395845</v>
      </c>
    </row>
    <row r="33" spans="1:20">
      <c r="A33" s="15" t="s">
        <v>375</v>
      </c>
      <c r="B33" s="17" t="n">
        <v>3651</v>
      </c>
      <c r="C33" s="18">
        <f>(3226.0/B33*100)</f>
        <v/>
      </c>
      <c r="D33" s="19" t="n">
        <v>425</v>
      </c>
      <c r="E33" s="18" t="n">
        <v>73.12350438</v>
      </c>
      <c r="F33" s="20" t="n">
        <v>2.75480926</v>
      </c>
      <c r="G33" s="18" t="n">
        <v>9.66139392</v>
      </c>
      <c r="H33" s="20" t="n">
        <v>1.67979277</v>
      </c>
      <c r="I33" s="18" t="n">
        <v>2.7741144</v>
      </c>
      <c r="J33" s="20" t="n">
        <v>1.02348568</v>
      </c>
      <c r="K33" s="18" t="s">
        <v>349</v>
      </c>
      <c r="L33" s="20" t="s">
        <v>349</v>
      </c>
      <c r="M33" s="18" t="n">
        <v>1.55805023</v>
      </c>
      <c r="N33" s="20" t="n">
        <v>0.89220582</v>
      </c>
      <c r="O33" s="18" t="n">
        <v>0</v>
      </c>
      <c r="P33" s="20" t="n">
        <v>0</v>
      </c>
      <c r="Q33" s="18" t="n">
        <v>0</v>
      </c>
      <c r="R33" s="20" t="n">
        <v>0</v>
      </c>
      <c r="S33" s="18" t="n">
        <v>12.88293706</v>
      </c>
      <c r="T33" s="20" t="n">
        <v>1.88145642</v>
      </c>
    </row>
    <row r="34" spans="1:20">
      <c r="A34" s="15" t="s">
        <v>376</v>
      </c>
      <c r="B34" s="17" t="n">
        <v>3035</v>
      </c>
      <c r="C34" s="18">
        <f>(2661.0/B34*100)</f>
        <v/>
      </c>
      <c r="D34" s="19" t="n">
        <v>374</v>
      </c>
      <c r="E34" s="18" t="n">
        <v>75.07592991</v>
      </c>
      <c r="F34" s="20" t="n">
        <v>2.59443219</v>
      </c>
      <c r="G34" s="18" t="n">
        <v>3.04134232</v>
      </c>
      <c r="H34" s="20" t="n">
        <v>0.89796105</v>
      </c>
      <c r="I34" s="18" t="n">
        <v>4.5702571</v>
      </c>
      <c r="J34" s="20" t="n">
        <v>1.36397315</v>
      </c>
      <c r="K34" s="18" t="s">
        <v>349</v>
      </c>
      <c r="L34" s="20" t="s">
        <v>349</v>
      </c>
      <c r="M34" s="18" t="n">
        <v>1.7848082</v>
      </c>
      <c r="N34" s="20" t="n">
        <v>0.66650652</v>
      </c>
      <c r="O34" s="18" t="n">
        <v>0</v>
      </c>
      <c r="P34" s="20" t="n">
        <v>0</v>
      </c>
      <c r="Q34" s="18" t="n">
        <v>0</v>
      </c>
      <c r="R34" s="20" t="n">
        <v>0</v>
      </c>
      <c r="S34" s="18" t="n">
        <v>15.52766248</v>
      </c>
      <c r="T34" s="20" t="n">
        <v>2.19006016</v>
      </c>
    </row>
    <row r="35" spans="1:20">
      <c r="A35" s="15" t="s">
        <v>377</v>
      </c>
      <c r="B35" s="17" t="n">
        <v>2901</v>
      </c>
      <c r="C35" s="18">
        <f>(2564.0/B35*100)</f>
        <v/>
      </c>
      <c r="D35" s="19" t="n">
        <v>337</v>
      </c>
      <c r="E35" s="18" t="n">
        <v>79.87078425</v>
      </c>
      <c r="F35" s="20" t="n">
        <v>2.23857812</v>
      </c>
      <c r="G35" s="18" t="n">
        <v>5.06748556</v>
      </c>
      <c r="H35" s="20" t="n">
        <v>1.42982108</v>
      </c>
      <c r="I35" s="18" t="n">
        <v>4.94684408</v>
      </c>
      <c r="J35" s="20" t="n">
        <v>1.64630051</v>
      </c>
      <c r="K35" s="18" t="s">
        <v>349</v>
      </c>
      <c r="L35" s="20" t="s">
        <v>349</v>
      </c>
      <c r="M35" s="18" t="n">
        <v>0.10593365</v>
      </c>
      <c r="N35" s="20" t="n">
        <v>0.10592571</v>
      </c>
      <c r="O35" s="18" t="n">
        <v>0</v>
      </c>
      <c r="P35" s="20" t="n">
        <v>0</v>
      </c>
      <c r="Q35" s="18" t="n">
        <v>0</v>
      </c>
      <c r="R35" s="20" t="n">
        <v>0</v>
      </c>
      <c r="S35" s="18" t="n">
        <v>10.00895245</v>
      </c>
      <c r="T35" s="20" t="n">
        <v>1.69974774</v>
      </c>
    </row>
    <row r="36" spans="1:20">
      <c r="A36" s="15" t="s">
        <v>378</v>
      </c>
      <c r="B36" s="17" t="n">
        <v>3404</v>
      </c>
      <c r="C36" s="18">
        <f>(2966.0/B36*100)</f>
        <v/>
      </c>
      <c r="D36" s="19" t="n">
        <v>438</v>
      </c>
      <c r="E36" s="18" t="n">
        <v>80.91486449999999</v>
      </c>
      <c r="F36" s="20" t="n">
        <v>1.83728247</v>
      </c>
      <c r="G36" s="18" t="n">
        <v>7.16557971</v>
      </c>
      <c r="H36" s="20" t="n">
        <v>1.2842077</v>
      </c>
      <c r="I36" s="18" t="n">
        <v>2.78572946</v>
      </c>
      <c r="J36" s="20" t="n">
        <v>0.77957628</v>
      </c>
      <c r="K36" s="18" t="s">
        <v>349</v>
      </c>
      <c r="L36" s="20" t="s">
        <v>349</v>
      </c>
      <c r="M36" s="18" t="n">
        <v>0.30061641</v>
      </c>
      <c r="N36" s="20" t="n">
        <v>0.30305908</v>
      </c>
      <c r="O36" s="18" t="n">
        <v>0</v>
      </c>
      <c r="P36" s="20" t="n">
        <v>0</v>
      </c>
      <c r="Q36" s="18" t="n">
        <v>0</v>
      </c>
      <c r="R36" s="20" t="n">
        <v>0</v>
      </c>
      <c r="S36" s="18" t="n">
        <v>8.83320992</v>
      </c>
      <c r="T36" s="20" t="n">
        <v>1.49971096</v>
      </c>
    </row>
    <row r="37" spans="1:20">
      <c r="A37" s="15" t="s">
        <v>379</v>
      </c>
      <c r="B37" s="17" t="n">
        <v>2731</v>
      </c>
      <c r="C37" s="18">
        <f>(2402.0/B37*100)</f>
        <v/>
      </c>
      <c r="D37" s="19" t="n">
        <v>329</v>
      </c>
      <c r="E37" s="18" t="n">
        <v>68.28325176</v>
      </c>
      <c r="F37" s="20" t="n">
        <v>2.43898141</v>
      </c>
      <c r="G37" s="18" t="n">
        <v>4.42235678</v>
      </c>
      <c r="H37" s="20" t="n">
        <v>1.30732743</v>
      </c>
      <c r="I37" s="18" t="n">
        <v>7.42608431</v>
      </c>
      <c r="J37" s="20" t="n">
        <v>1.41072916</v>
      </c>
      <c r="K37" s="18" t="s">
        <v>349</v>
      </c>
      <c r="L37" s="20" t="s">
        <v>349</v>
      </c>
      <c r="M37" s="18" t="n">
        <v>2.80241498</v>
      </c>
      <c r="N37" s="20" t="n">
        <v>0.9263663600000001</v>
      </c>
      <c r="O37" s="18" t="n">
        <v>0</v>
      </c>
      <c r="P37" s="20" t="n">
        <v>0</v>
      </c>
      <c r="Q37" s="18" t="n">
        <v>0</v>
      </c>
      <c r="R37" s="20" t="n">
        <v>0</v>
      </c>
      <c r="S37" s="18" t="n">
        <v>17.06589218</v>
      </c>
      <c r="T37" s="20" t="n">
        <v>2.02586131</v>
      </c>
    </row>
    <row r="38" spans="1:20">
      <c r="A38" s="15" t="s">
        <v>380</v>
      </c>
      <c r="B38" s="17" t="n">
        <v>2807</v>
      </c>
      <c r="C38" s="18">
        <f>(2358.0/B38*100)</f>
        <v/>
      </c>
      <c r="D38" s="19" t="n">
        <v>449</v>
      </c>
      <c r="E38" s="18" t="n">
        <v>68.8046265</v>
      </c>
      <c r="F38" s="20" t="n">
        <v>2.75256086</v>
      </c>
      <c r="G38" s="18" t="n">
        <v>6.12782736</v>
      </c>
      <c r="H38" s="20" t="n">
        <v>1.20051284</v>
      </c>
      <c r="I38" s="18" t="n">
        <v>9.14306665</v>
      </c>
      <c r="J38" s="20" t="n">
        <v>1.52214191</v>
      </c>
      <c r="K38" s="18" t="s">
        <v>349</v>
      </c>
      <c r="L38" s="20" t="s">
        <v>349</v>
      </c>
      <c r="M38" s="18" t="n">
        <v>1.48206454</v>
      </c>
      <c r="N38" s="20" t="n">
        <v>0.5044043499999999</v>
      </c>
      <c r="O38" s="18" t="n">
        <v>0</v>
      </c>
      <c r="P38" s="20" t="n">
        <v>0</v>
      </c>
      <c r="Q38" s="18" t="n">
        <v>0</v>
      </c>
      <c r="R38" s="20" t="n">
        <v>0</v>
      </c>
      <c r="S38" s="18" t="n">
        <v>14.44241495</v>
      </c>
      <c r="T38" s="20" t="n">
        <v>2.06310649</v>
      </c>
    </row>
    <row r="39" spans="1:20">
      <c r="A39" s="15" t="s">
        <v>381</v>
      </c>
      <c r="B39" s="17" t="n">
        <v>2938</v>
      </c>
      <c r="C39" s="18">
        <f>(2583.0/B39*100)</f>
        <v/>
      </c>
      <c r="D39" s="19" t="n">
        <v>355</v>
      </c>
      <c r="E39" s="18" t="n">
        <v>85.72590741</v>
      </c>
      <c r="F39" s="20" t="n">
        <v>1.66593175</v>
      </c>
      <c r="G39" s="18" t="n">
        <v>1.74380488</v>
      </c>
      <c r="H39" s="20" t="n">
        <v>0.6960666</v>
      </c>
      <c r="I39" s="18" t="n">
        <v>0.63927411</v>
      </c>
      <c r="J39" s="20" t="n">
        <v>0.43991115</v>
      </c>
      <c r="K39" s="18" t="s">
        <v>349</v>
      </c>
      <c r="L39" s="20" t="s">
        <v>349</v>
      </c>
      <c r="M39" s="18" t="n">
        <v>0.62783811</v>
      </c>
      <c r="N39" s="20" t="n">
        <v>0.37377965</v>
      </c>
      <c r="O39" s="18" t="n">
        <v>0</v>
      </c>
      <c r="P39" s="20" t="n">
        <v>0</v>
      </c>
      <c r="Q39" s="18" t="n">
        <v>0</v>
      </c>
      <c r="R39" s="20" t="n">
        <v>0</v>
      </c>
      <c r="S39" s="18" t="n">
        <v>11.26317549</v>
      </c>
      <c r="T39" s="20" t="n">
        <v>1.46575316</v>
      </c>
    </row>
    <row r="40" spans="1:20">
      <c r="A40" s="15" t="s">
        <v>382</v>
      </c>
      <c r="B40" s="17" t="n">
        <v>6922</v>
      </c>
      <c r="C40" s="18">
        <f>(6088.0/B40*100)</f>
        <v/>
      </c>
      <c r="D40" s="19" t="n">
        <v>834</v>
      </c>
      <c r="E40" s="18" t="n">
        <v>78.06445865000001</v>
      </c>
      <c r="F40" s="20" t="n">
        <v>2.15117263</v>
      </c>
      <c r="G40" s="18" t="n">
        <v>2.04954234</v>
      </c>
      <c r="H40" s="20" t="n">
        <v>0.6067894700000001</v>
      </c>
      <c r="I40" s="18" t="n">
        <v>6.41469031</v>
      </c>
      <c r="J40" s="20" t="n">
        <v>1.29861354</v>
      </c>
      <c r="K40" s="18" t="s">
        <v>349</v>
      </c>
      <c r="L40" s="20" t="s">
        <v>349</v>
      </c>
      <c r="M40" s="18" t="n">
        <v>1.42360428</v>
      </c>
      <c r="N40" s="20" t="n">
        <v>0.50920748</v>
      </c>
      <c r="O40" s="18" t="n">
        <v>0</v>
      </c>
      <c r="P40" s="20" t="n">
        <v>0</v>
      </c>
      <c r="Q40" s="18" t="n">
        <v>0</v>
      </c>
      <c r="R40" s="20" t="n">
        <v>0</v>
      </c>
      <c r="S40" s="18" t="n">
        <v>12.04770442</v>
      </c>
      <c r="T40" s="20" t="n">
        <v>1.880949</v>
      </c>
    </row>
    <row r="41" spans="1:20">
      <c r="A41" s="15" t="s">
        <v>383</v>
      </c>
      <c r="B41" s="17" t="n">
        <v>2854</v>
      </c>
      <c r="C41" s="18">
        <f>(2501.0/B41*100)</f>
        <v/>
      </c>
      <c r="D41" s="19" t="n">
        <v>353</v>
      </c>
      <c r="E41" s="18" t="n">
        <v>90.61102655000001</v>
      </c>
      <c r="F41" s="20" t="n">
        <v>1.72644781</v>
      </c>
      <c r="G41" s="18" t="n">
        <v>2.72086804</v>
      </c>
      <c r="H41" s="20" t="n">
        <v>0.74962673</v>
      </c>
      <c r="I41" s="18" t="n">
        <v>3.61575841</v>
      </c>
      <c r="J41" s="20" t="n">
        <v>1.04514259</v>
      </c>
      <c r="K41" s="18" t="s">
        <v>349</v>
      </c>
      <c r="L41" s="20" t="s">
        <v>349</v>
      </c>
      <c r="M41" s="18" t="n">
        <v>0.32005253</v>
      </c>
      <c r="N41" s="20" t="n">
        <v>0.28554637</v>
      </c>
      <c r="O41" s="18" t="n">
        <v>0</v>
      </c>
      <c r="P41" s="20" t="n">
        <v>0</v>
      </c>
      <c r="Q41" s="18" t="n">
        <v>0</v>
      </c>
      <c r="R41" s="20" t="n">
        <v>0</v>
      </c>
      <c r="S41" s="18" t="n">
        <v>2.73229448</v>
      </c>
      <c r="T41" s="20" t="n">
        <v>0.94823839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row>
    <row r="46" spans="1:20">
      <c r="A46" s="15" t="s">
        <v>388</v>
      </c>
      <c r="B46" s="17" t="n">
        <v>12073</v>
      </c>
      <c r="C46" s="18">
        <f>(10823.0/B46*100)</f>
        <v/>
      </c>
      <c r="D46" s="19" t="n">
        <v>1250</v>
      </c>
      <c r="E46" s="18" t="n">
        <v>79.52445491</v>
      </c>
      <c r="F46" s="20" t="n">
        <v>1.27459747</v>
      </c>
      <c r="G46" s="18" t="n">
        <v>0.71856977</v>
      </c>
      <c r="H46" s="20" t="n">
        <v>0.26153108</v>
      </c>
      <c r="I46" s="18" t="n">
        <v>0.10088064</v>
      </c>
      <c r="J46" s="20" t="n">
        <v>0.10082561</v>
      </c>
      <c r="K46" s="18" t="s">
        <v>349</v>
      </c>
      <c r="L46" s="20" t="s">
        <v>349</v>
      </c>
      <c r="M46" s="18" t="n">
        <v>2.37415176</v>
      </c>
      <c r="N46" s="20" t="n">
        <v>0.52918533</v>
      </c>
      <c r="O46" s="18" t="n">
        <v>0</v>
      </c>
      <c r="P46" s="20" t="n">
        <v>0</v>
      </c>
      <c r="Q46" s="18" t="n">
        <v>0</v>
      </c>
      <c r="R46" s="20" t="n">
        <v>0</v>
      </c>
      <c r="S46" s="18" t="n">
        <v>17.28194292</v>
      </c>
      <c r="T46" s="20" t="n">
        <v>1.34854011</v>
      </c>
    </row>
    <row r="47" spans="1:20">
      <c r="A47" s="15" t="s">
        <v>389</v>
      </c>
      <c r="B47" s="17" t="n">
        <v>2823</v>
      </c>
      <c r="C47" s="18">
        <f>(2484.0/B47*100)</f>
        <v/>
      </c>
      <c r="D47" s="19" t="n">
        <v>339</v>
      </c>
      <c r="E47" s="18" t="n">
        <v>77.38265846</v>
      </c>
      <c r="F47" s="20" t="n">
        <v>2.53058004</v>
      </c>
      <c r="G47" s="18" t="n">
        <v>3.21706912</v>
      </c>
      <c r="H47" s="20" t="n">
        <v>0.95184198</v>
      </c>
      <c r="I47" s="18" t="n">
        <v>2.11691182</v>
      </c>
      <c r="J47" s="20" t="n">
        <v>0.86770619</v>
      </c>
      <c r="K47" s="18" t="s">
        <v>349</v>
      </c>
      <c r="L47" s="20" t="s">
        <v>349</v>
      </c>
      <c r="M47" s="18" t="n">
        <v>1.49997747</v>
      </c>
      <c r="N47" s="20" t="n">
        <v>0.68586122</v>
      </c>
      <c r="O47" s="18" t="n">
        <v>0</v>
      </c>
      <c r="P47" s="20" t="n">
        <v>0</v>
      </c>
      <c r="Q47" s="18" t="n">
        <v>0</v>
      </c>
      <c r="R47" s="20" t="n">
        <v>0</v>
      </c>
      <c r="S47" s="18" t="n">
        <v>15.78338312</v>
      </c>
      <c r="T47" s="20" t="n">
        <v>2.17786317</v>
      </c>
    </row>
    <row r="48" spans="1:20">
      <c r="A48" s="15" t="s">
        <v>390</v>
      </c>
      <c r="B48" s="17" t="n">
        <v>4682</v>
      </c>
      <c r="C48" s="18">
        <f>(4111.0/B48*100)</f>
        <v/>
      </c>
      <c r="D48" s="19" t="n">
        <v>571</v>
      </c>
      <c r="E48" s="18" t="n">
        <v>78.53610214</v>
      </c>
      <c r="F48" s="20" t="n">
        <v>2.35366268</v>
      </c>
      <c r="G48" s="18" t="n">
        <v>4.7801752</v>
      </c>
      <c r="H48" s="20" t="n">
        <v>1.18128352</v>
      </c>
      <c r="I48" s="18" t="n">
        <v>10.88624505</v>
      </c>
      <c r="J48" s="20" t="n">
        <v>2.33212381</v>
      </c>
      <c r="K48" s="18" t="s">
        <v>349</v>
      </c>
      <c r="L48" s="20" t="s">
        <v>349</v>
      </c>
      <c r="M48" s="18" t="n">
        <v>1.27171821</v>
      </c>
      <c r="N48" s="20" t="n">
        <v>0.974337</v>
      </c>
      <c r="O48" s="18" t="n">
        <v>0</v>
      </c>
      <c r="P48" s="20" t="n">
        <v>0</v>
      </c>
      <c r="Q48" s="18" t="n">
        <v>0</v>
      </c>
      <c r="R48" s="20" t="n">
        <v>0</v>
      </c>
      <c r="S48" s="18" t="n">
        <v>4.52575939</v>
      </c>
      <c r="T48" s="20" t="n">
        <v>0.97902016</v>
      </c>
    </row>
    <row r="49" spans="1:20">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row>
    <row r="50" spans="1:20">
      <c r="A50" s="15" t="s">
        <v>392</v>
      </c>
      <c r="B50" s="17" t="n">
        <v>6158</v>
      </c>
      <c r="C50" s="18">
        <f>(5430.0/B50*100)</f>
        <v/>
      </c>
      <c r="D50" s="19" t="n">
        <v>728</v>
      </c>
      <c r="E50" s="18" t="n">
        <v>89.65192144</v>
      </c>
      <c r="F50" s="20" t="n">
        <v>1.50693068</v>
      </c>
      <c r="G50" s="18" t="n">
        <v>0.53443222</v>
      </c>
      <c r="H50" s="20" t="n">
        <v>0.43567656</v>
      </c>
      <c r="I50" s="18" t="n">
        <v>0</v>
      </c>
      <c r="J50" s="20" t="n">
        <v>0</v>
      </c>
      <c r="K50" s="18" t="s">
        <v>349</v>
      </c>
      <c r="L50" s="20" t="s">
        <v>349</v>
      </c>
      <c r="M50" s="18" t="n">
        <v>1.81226691</v>
      </c>
      <c r="N50" s="20" t="n">
        <v>0.80319482</v>
      </c>
      <c r="O50" s="18" t="n">
        <v>0</v>
      </c>
      <c r="P50" s="20" t="n">
        <v>0</v>
      </c>
      <c r="Q50" s="18" t="n">
        <v>0</v>
      </c>
      <c r="R50" s="20" t="n">
        <v>0</v>
      </c>
      <c r="S50" s="18" t="n">
        <v>8.001379439999999</v>
      </c>
      <c r="T50" s="20" t="n">
        <v>1.14882083</v>
      </c>
    </row>
    <row r="51" spans="1:20">
      <c r="A51" s="15" t="s">
        <v>393</v>
      </c>
      <c r="B51" s="17" t="n">
        <v>3494</v>
      </c>
      <c r="C51" s="18">
        <f>(3137.0/B51*100)</f>
        <v/>
      </c>
      <c r="D51" s="19" t="n">
        <v>357</v>
      </c>
      <c r="E51" s="18" t="n">
        <v>84.69375936</v>
      </c>
      <c r="F51" s="20" t="n">
        <v>2.07461281</v>
      </c>
      <c r="G51" s="18" t="n">
        <v>1.60711348</v>
      </c>
      <c r="H51" s="20" t="n">
        <v>0.72523248</v>
      </c>
      <c r="I51" s="18" t="n">
        <v>0.26180894</v>
      </c>
      <c r="J51" s="20" t="n">
        <v>0.26443226</v>
      </c>
      <c r="K51" s="18" t="s">
        <v>349</v>
      </c>
      <c r="L51" s="20" t="s">
        <v>349</v>
      </c>
      <c r="M51" s="18" t="n">
        <v>1.93832225</v>
      </c>
      <c r="N51" s="20" t="n">
        <v>0.76113286</v>
      </c>
      <c r="O51" s="18" t="n">
        <v>0</v>
      </c>
      <c r="P51" s="20" t="n">
        <v>0</v>
      </c>
      <c r="Q51" s="18" t="n">
        <v>0</v>
      </c>
      <c r="R51" s="20" t="n">
        <v>0</v>
      </c>
      <c r="S51" s="18" t="n">
        <v>11.49899597</v>
      </c>
      <c r="T51" s="20" t="n">
        <v>2.0593163</v>
      </c>
    </row>
    <row r="52" spans="1:20">
      <c r="A52" s="15" t="s">
        <v>394</v>
      </c>
      <c r="B52" s="17" t="n">
        <v>3013</v>
      </c>
      <c r="C52" s="18">
        <f>(2646.0/B52*100)</f>
        <v/>
      </c>
      <c r="D52" s="19" t="n">
        <v>367</v>
      </c>
      <c r="E52" s="18" t="n">
        <v>74.58460411999999</v>
      </c>
      <c r="F52" s="20" t="n">
        <v>2.13973696</v>
      </c>
      <c r="G52" s="18" t="n">
        <v>4.742539</v>
      </c>
      <c r="H52" s="20" t="n">
        <v>1.14176418</v>
      </c>
      <c r="I52" s="18" t="n">
        <v>1.87766481</v>
      </c>
      <c r="J52" s="20" t="n">
        <v>0.7744092</v>
      </c>
      <c r="K52" s="18" t="s">
        <v>349</v>
      </c>
      <c r="L52" s="20" t="s">
        <v>349</v>
      </c>
      <c r="M52" s="18" t="n">
        <v>0.27253487</v>
      </c>
      <c r="N52" s="20" t="n">
        <v>0.25834462</v>
      </c>
      <c r="O52" s="18" t="n">
        <v>0</v>
      </c>
      <c r="P52" s="20" t="n">
        <v>0</v>
      </c>
      <c r="Q52" s="18" t="n">
        <v>0</v>
      </c>
      <c r="R52" s="20" t="n">
        <v>0</v>
      </c>
      <c r="S52" s="18" t="n">
        <v>18.5226572</v>
      </c>
      <c r="T52" s="20" t="n">
        <v>1.74090242</v>
      </c>
    </row>
    <row r="53" spans="1:20">
      <c r="A53" s="15" t="s">
        <v>395</v>
      </c>
      <c r="B53" s="17" t="n">
        <v>2760</v>
      </c>
      <c r="C53" s="18">
        <f>(2412.0/B53*100)</f>
        <v/>
      </c>
      <c r="D53" s="19" t="n">
        <v>348</v>
      </c>
      <c r="E53" s="18" t="n">
        <v>81.13436824</v>
      </c>
      <c r="F53" s="20" t="n">
        <v>2.30427702</v>
      </c>
      <c r="G53" s="18" t="n">
        <v>1.6569149</v>
      </c>
      <c r="H53" s="20" t="n">
        <v>0.77823933</v>
      </c>
      <c r="I53" s="18" t="n">
        <v>3.06777866</v>
      </c>
      <c r="J53" s="20" t="n">
        <v>0.92077483</v>
      </c>
      <c r="K53" s="18" t="s">
        <v>349</v>
      </c>
      <c r="L53" s="20" t="s">
        <v>349</v>
      </c>
      <c r="M53" s="18" t="n">
        <v>0.80997695</v>
      </c>
      <c r="N53" s="20" t="n">
        <v>0.46413493</v>
      </c>
      <c r="O53" s="18" t="n">
        <v>0</v>
      </c>
      <c r="P53" s="20" t="n">
        <v>0</v>
      </c>
      <c r="Q53" s="18" t="n">
        <v>0</v>
      </c>
      <c r="R53" s="20" t="n">
        <v>0</v>
      </c>
      <c r="S53" s="18" t="n">
        <v>13.33096124</v>
      </c>
      <c r="T53" s="20" t="n">
        <v>2.06026297</v>
      </c>
    </row>
    <row r="54" spans="1:20">
      <c r="A54" s="15" t="s">
        <v>396</v>
      </c>
      <c r="B54" s="17" t="n">
        <v>2474</v>
      </c>
      <c r="C54" s="18">
        <f>(2042.0/B54*100)</f>
        <v/>
      </c>
      <c r="D54" s="19" t="n">
        <v>432</v>
      </c>
      <c r="E54" s="18" t="n">
        <v>74.35122137</v>
      </c>
      <c r="F54" s="20" t="n">
        <v>2.13516641</v>
      </c>
      <c r="G54" s="18" t="n">
        <v>0.9160663999999999</v>
      </c>
      <c r="H54" s="20" t="n">
        <v>0.44495465</v>
      </c>
      <c r="I54" s="18" t="n">
        <v>0</v>
      </c>
      <c r="J54" s="20" t="n">
        <v>0</v>
      </c>
      <c r="K54" s="18" t="s">
        <v>349</v>
      </c>
      <c r="L54" s="20" t="s">
        <v>349</v>
      </c>
      <c r="M54" s="18" t="n">
        <v>10.93389421</v>
      </c>
      <c r="N54" s="20" t="n">
        <v>1.59286811</v>
      </c>
      <c r="O54" s="18" t="n">
        <v>0</v>
      </c>
      <c r="P54" s="20" t="n">
        <v>0</v>
      </c>
      <c r="Q54" s="18" t="n">
        <v>0</v>
      </c>
      <c r="R54" s="20" t="n">
        <v>0</v>
      </c>
      <c r="S54" s="18" t="n">
        <v>13.79881802</v>
      </c>
      <c r="T54" s="20" t="n">
        <v>1.65109871</v>
      </c>
    </row>
    <row r="55" spans="1:20">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2675</v>
      </c>
      <c r="C56" s="18">
        <f>(2339.0/B56*100)</f>
        <v/>
      </c>
      <c r="D56" s="19" t="n">
        <v>336</v>
      </c>
      <c r="E56" s="18" t="n">
        <v>65.65342702</v>
      </c>
      <c r="F56" s="20" t="n">
        <v>2.50772085</v>
      </c>
      <c r="G56" s="18" t="n">
        <v>2.51713689</v>
      </c>
      <c r="H56" s="20" t="n">
        <v>0.8355433799999999</v>
      </c>
      <c r="I56" s="18" t="n">
        <v>30.10748637</v>
      </c>
      <c r="J56" s="20" t="n">
        <v>2.40816472</v>
      </c>
      <c r="K56" s="18" t="s">
        <v>349</v>
      </c>
      <c r="L56" s="20" t="s">
        <v>349</v>
      </c>
      <c r="M56" s="18" t="n">
        <v>0</v>
      </c>
      <c r="N56" s="20" t="n">
        <v>0</v>
      </c>
      <c r="O56" s="18" t="n">
        <v>0</v>
      </c>
      <c r="P56" s="20" t="n">
        <v>0</v>
      </c>
      <c r="Q56" s="18" t="n">
        <v>0</v>
      </c>
      <c r="R56" s="20" t="n">
        <v>0</v>
      </c>
      <c r="S56" s="18" t="n">
        <v>1.72194973</v>
      </c>
      <c r="T56" s="20" t="n">
        <v>0.74529433</v>
      </c>
    </row>
    <row r="57" spans="1:20">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row>
    <row r="59" spans="1:20">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row>
    <row r="60" spans="1:20">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row>
    <row r="61" spans="1:20">
      <c r="A61" s="15" t="s">
        <v>403</v>
      </c>
      <c r="B61" s="17" t="n">
        <v>3201</v>
      </c>
      <c r="C61" s="18">
        <f>(2800.0/B61*100)</f>
        <v/>
      </c>
      <c r="D61" s="19" t="n">
        <v>401</v>
      </c>
      <c r="E61" s="18" t="n">
        <v>80.53578646</v>
      </c>
      <c r="F61" s="20" t="n">
        <v>2.23598428</v>
      </c>
      <c r="G61" s="18" t="n">
        <v>1.48343244</v>
      </c>
      <c r="H61" s="20" t="n">
        <v>0.5977883899999999</v>
      </c>
      <c r="I61" s="18" t="n">
        <v>2.46074871</v>
      </c>
      <c r="J61" s="20" t="n">
        <v>0.73851447</v>
      </c>
      <c r="K61" s="18" t="s">
        <v>349</v>
      </c>
      <c r="L61" s="20" t="s">
        <v>349</v>
      </c>
      <c r="M61" s="18" t="n">
        <v>0.72167382</v>
      </c>
      <c r="N61" s="20" t="n">
        <v>0.70681778</v>
      </c>
      <c r="O61" s="18" t="n">
        <v>0</v>
      </c>
      <c r="P61" s="20" t="n">
        <v>0</v>
      </c>
      <c r="Q61" s="18" t="n">
        <v>0</v>
      </c>
      <c r="R61" s="20" t="n">
        <v>0</v>
      </c>
      <c r="S61" s="18" t="n">
        <v>14.79835857</v>
      </c>
      <c r="T61" s="20" t="n">
        <v>1.99537547</v>
      </c>
    </row>
    <row r="62" spans="1:20">
      <c r="A62" s="15" t="s">
        <v>404</v>
      </c>
      <c r="B62" s="17" t="n">
        <v>2230</v>
      </c>
      <c r="C62" s="18">
        <f>(1981.0/B62*100)</f>
        <v/>
      </c>
      <c r="D62" s="19" t="n">
        <v>249</v>
      </c>
      <c r="E62" s="18" t="n">
        <v>81.59172383000001</v>
      </c>
      <c r="F62" s="20" t="n">
        <v>2.47606166</v>
      </c>
      <c r="G62" s="18" t="n">
        <v>5.57979089</v>
      </c>
      <c r="H62" s="20" t="n">
        <v>1.38325142</v>
      </c>
      <c r="I62" s="18" t="n">
        <v>10.79173008</v>
      </c>
      <c r="J62" s="20" t="n">
        <v>2.085848</v>
      </c>
      <c r="K62" s="18" t="s">
        <v>349</v>
      </c>
      <c r="L62" s="20" t="s">
        <v>349</v>
      </c>
      <c r="M62" s="18" t="n">
        <v>0.39855649</v>
      </c>
      <c r="N62" s="20" t="n">
        <v>0.40027345</v>
      </c>
      <c r="O62" s="18" t="n">
        <v>0</v>
      </c>
      <c r="P62" s="20" t="n">
        <v>0</v>
      </c>
      <c r="Q62" s="18" t="n">
        <v>0</v>
      </c>
      <c r="R62" s="20" t="n">
        <v>0</v>
      </c>
      <c r="S62" s="18" t="n">
        <v>1.63819871</v>
      </c>
      <c r="T62" s="20" t="n">
        <v>0.82844892</v>
      </c>
    </row>
    <row r="63" spans="1:20">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row>
    <row r="64" spans="1:20">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row>
    <row r="66" spans="1:20">
      <c r="A66" s="15" t="s">
        <v>408</v>
      </c>
      <c r="B66" s="17" t="n">
        <v>2771</v>
      </c>
      <c r="C66" s="18">
        <f>(2441.0/B66*100)</f>
        <v/>
      </c>
      <c r="D66" s="19" t="n">
        <v>330</v>
      </c>
      <c r="E66" s="18" t="n">
        <v>53.11182176</v>
      </c>
      <c r="F66" s="20" t="n">
        <v>2.44771955</v>
      </c>
      <c r="G66" s="18" t="n">
        <v>2.60034484</v>
      </c>
      <c r="H66" s="20" t="n">
        <v>0.9142808</v>
      </c>
      <c r="I66" s="18" t="n">
        <v>0.52650359</v>
      </c>
      <c r="J66" s="20" t="n">
        <v>0.37506667</v>
      </c>
      <c r="K66" s="18" t="s">
        <v>349</v>
      </c>
      <c r="L66" s="20" t="s">
        <v>349</v>
      </c>
      <c r="M66" s="18" t="n">
        <v>4.05352468</v>
      </c>
      <c r="N66" s="20" t="n">
        <v>1.08776284</v>
      </c>
      <c r="O66" s="18" t="n">
        <v>0</v>
      </c>
      <c r="P66" s="20" t="n">
        <v>0</v>
      </c>
      <c r="Q66" s="18" t="n">
        <v>0</v>
      </c>
      <c r="R66" s="20" t="n">
        <v>0</v>
      </c>
      <c r="S66" s="18" t="n">
        <v>39.70780513</v>
      </c>
      <c r="T66" s="20" t="n">
        <v>2.31988148</v>
      </c>
    </row>
    <row r="67" spans="1:20">
      <c r="A67" s="15" t="s">
        <v>409</v>
      </c>
      <c r="B67" s="17" t="n">
        <v>3460</v>
      </c>
      <c r="C67" s="18">
        <f>(3082.0/B67*100)</f>
        <v/>
      </c>
      <c r="D67" s="19" t="n">
        <v>378</v>
      </c>
      <c r="E67" s="18" t="n">
        <v>78.35655217</v>
      </c>
      <c r="F67" s="20" t="n">
        <v>2.53726756</v>
      </c>
      <c r="G67" s="18" t="n">
        <v>1.01964414</v>
      </c>
      <c r="H67" s="20" t="n">
        <v>0.50687659</v>
      </c>
      <c r="I67" s="18" t="n">
        <v>0.2294654</v>
      </c>
      <c r="J67" s="20" t="n">
        <v>0.22499652</v>
      </c>
      <c r="K67" s="18" t="s">
        <v>349</v>
      </c>
      <c r="L67" s="20" t="s">
        <v>349</v>
      </c>
      <c r="M67" s="18" t="n">
        <v>0.20524721</v>
      </c>
      <c r="N67" s="20" t="n">
        <v>0.20402448</v>
      </c>
      <c r="O67" s="18" t="n">
        <v>0</v>
      </c>
      <c r="P67" s="20" t="n">
        <v>0</v>
      </c>
      <c r="Q67" s="18" t="n">
        <v>0</v>
      </c>
      <c r="R67" s="20" t="n">
        <v>0</v>
      </c>
      <c r="S67" s="18" t="n">
        <v>20.18909107</v>
      </c>
      <c r="T67" s="20" t="n">
        <v>2.558998</v>
      </c>
    </row>
    <row r="68" spans="1:20">
      <c r="A68" s="15" t="s">
        <v>410</v>
      </c>
      <c r="B68" s="17" t="n">
        <v>6034</v>
      </c>
      <c r="C68" s="18">
        <f>(5041.0/B68*100)</f>
        <v/>
      </c>
      <c r="D68" s="19" t="n">
        <v>993</v>
      </c>
      <c r="E68" s="18" t="n">
        <v>81.10872503</v>
      </c>
      <c r="F68" s="20" t="n">
        <v>1.4080166</v>
      </c>
      <c r="G68" s="18" t="n">
        <v>1.33476373</v>
      </c>
      <c r="H68" s="20" t="n">
        <v>0.39011565</v>
      </c>
      <c r="I68" s="18" t="n">
        <v>2.25394686</v>
      </c>
      <c r="J68" s="20" t="n">
        <v>0.48523658</v>
      </c>
      <c r="K68" s="18" t="s">
        <v>349</v>
      </c>
      <c r="L68" s="20" t="s">
        <v>349</v>
      </c>
      <c r="M68" s="18" t="n">
        <v>3.7731</v>
      </c>
      <c r="N68" s="20" t="n">
        <v>0.53168286</v>
      </c>
      <c r="O68" s="18" t="n">
        <v>0</v>
      </c>
      <c r="P68" s="20" t="n">
        <v>0</v>
      </c>
      <c r="Q68" s="18" t="n">
        <v>0</v>
      </c>
      <c r="R68" s="20" t="n">
        <v>0</v>
      </c>
      <c r="S68" s="18" t="n">
        <v>11.52946437</v>
      </c>
      <c r="T68" s="20" t="n">
        <v>1.06625654</v>
      </c>
    </row>
    <row r="69" spans="1:20">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row>
    <row r="70" spans="1:20">
      <c r="A70" s="15" t="s">
        <v>412</v>
      </c>
      <c r="B70" s="17" t="n">
        <v>3107</v>
      </c>
      <c r="C70" s="18">
        <f>(2760.0/B70*100)</f>
        <v/>
      </c>
      <c r="D70" s="19" t="n">
        <v>347</v>
      </c>
      <c r="E70" s="18" t="n">
        <v>80.66478205</v>
      </c>
      <c r="F70" s="20" t="n">
        <v>2.38979238</v>
      </c>
      <c r="G70" s="18" t="n">
        <v>4.1760335</v>
      </c>
      <c r="H70" s="20" t="n">
        <v>1.23234961</v>
      </c>
      <c r="I70" s="18" t="n">
        <v>5.03782472</v>
      </c>
      <c r="J70" s="20" t="n">
        <v>1.66131531</v>
      </c>
      <c r="K70" s="18" t="s">
        <v>349</v>
      </c>
      <c r="L70" s="20" t="s">
        <v>349</v>
      </c>
      <c r="M70" s="18" t="n">
        <v>0.74036799</v>
      </c>
      <c r="N70" s="20" t="n">
        <v>0.42334565</v>
      </c>
      <c r="O70" s="18" t="n">
        <v>0</v>
      </c>
      <c r="P70" s="20" t="n">
        <v>0</v>
      </c>
      <c r="Q70" s="18" t="n">
        <v>0</v>
      </c>
      <c r="R70" s="20" t="n">
        <v>0</v>
      </c>
      <c r="S70" s="18" t="n">
        <v>9.38099175</v>
      </c>
      <c r="T70" s="20" t="n">
        <v>1.95562267</v>
      </c>
    </row>
    <row r="71" spans="1:20">
      <c r="A71" s="15" t="s">
        <v>413</v>
      </c>
      <c r="B71" s="17" t="n">
        <v>2973</v>
      </c>
      <c r="C71" s="18">
        <f>(2596.0/B71*100)</f>
        <v/>
      </c>
      <c r="D71" s="19" t="n">
        <v>377</v>
      </c>
      <c r="E71" s="18" t="n">
        <v>66.07757606</v>
      </c>
      <c r="F71" s="20" t="n">
        <v>2.55970024</v>
      </c>
      <c r="G71" s="18" t="n">
        <v>5.33575815</v>
      </c>
      <c r="H71" s="20" t="n">
        <v>1.2829574</v>
      </c>
      <c r="I71" s="18" t="n">
        <v>25.56457913</v>
      </c>
      <c r="J71" s="20" t="n">
        <v>2.43751239</v>
      </c>
      <c r="K71" s="18" t="s">
        <v>349</v>
      </c>
      <c r="L71" s="20" t="s">
        <v>349</v>
      </c>
      <c r="M71" s="18" t="n">
        <v>0.30431535</v>
      </c>
      <c r="N71" s="20" t="n">
        <v>0.30262334</v>
      </c>
      <c r="O71" s="18" t="n">
        <v>0</v>
      </c>
      <c r="P71" s="20" t="n">
        <v>0</v>
      </c>
      <c r="Q71" s="18" t="n">
        <v>0</v>
      </c>
      <c r="R71" s="20" t="n">
        <v>0</v>
      </c>
      <c r="S71" s="18" t="n">
        <v>2.71777131</v>
      </c>
      <c r="T71" s="20" t="n">
        <v>0.90011024</v>
      </c>
    </row>
    <row r="72" spans="1:20">
      <c r="A72" s="15" t="s">
        <v>414</v>
      </c>
      <c r="B72" s="17" t="n">
        <v>3819</v>
      </c>
      <c r="C72" s="18">
        <f>(3329.0/B72*100)</f>
        <v/>
      </c>
      <c r="D72" s="19" t="n">
        <v>490</v>
      </c>
      <c r="E72" s="18" t="n">
        <v>73.70438876</v>
      </c>
      <c r="F72" s="20" t="n">
        <v>1.85510243</v>
      </c>
      <c r="G72" s="18" t="n">
        <v>7.11659801</v>
      </c>
      <c r="H72" s="20" t="n">
        <v>1.16012305</v>
      </c>
      <c r="I72" s="18" t="n">
        <v>13.17446219</v>
      </c>
      <c r="J72" s="20" t="n">
        <v>1.53795643</v>
      </c>
      <c r="K72" s="18" t="s">
        <v>349</v>
      </c>
      <c r="L72" s="20" t="s">
        <v>349</v>
      </c>
      <c r="M72" s="18" t="n">
        <v>0.22178018</v>
      </c>
      <c r="N72" s="20" t="n">
        <v>0.22147429</v>
      </c>
      <c r="O72" s="18" t="n">
        <v>0</v>
      </c>
      <c r="P72" s="20" t="n">
        <v>0</v>
      </c>
      <c r="Q72" s="18" t="n">
        <v>0</v>
      </c>
      <c r="R72" s="20" t="n">
        <v>0</v>
      </c>
      <c r="S72" s="18" t="n">
        <v>5.78277087</v>
      </c>
      <c r="T72" s="20" t="n">
        <v>1.2757066</v>
      </c>
    </row>
    <row r="73" spans="1:20">
      <c r="A73" s="15" t="s">
        <v>415</v>
      </c>
      <c r="B73" s="17" t="n">
        <v>4652</v>
      </c>
      <c r="C73" s="18">
        <f>(4112.0/B73*100)</f>
        <v/>
      </c>
      <c r="D73" s="19" t="n">
        <v>540</v>
      </c>
      <c r="E73" s="18" t="n">
        <v>95.56878455</v>
      </c>
      <c r="F73" s="20" t="n">
        <v>1.0091981</v>
      </c>
      <c r="G73" s="18" t="n">
        <v>0.8854886</v>
      </c>
      <c r="H73" s="20" t="n">
        <v>0.46006844</v>
      </c>
      <c r="I73" s="18" t="n">
        <v>1.38012824</v>
      </c>
      <c r="J73" s="20" t="n">
        <v>0.53205054</v>
      </c>
      <c r="K73" s="18" t="s">
        <v>349</v>
      </c>
      <c r="L73" s="20" t="s">
        <v>349</v>
      </c>
      <c r="M73" s="18" t="n">
        <v>0</v>
      </c>
      <c r="N73" s="20" t="n">
        <v>0</v>
      </c>
      <c r="O73" s="18" t="n">
        <v>0</v>
      </c>
      <c r="P73" s="20" t="n">
        <v>0</v>
      </c>
      <c r="Q73" s="18" t="n">
        <v>0</v>
      </c>
      <c r="R73" s="20" t="n">
        <v>0</v>
      </c>
      <c r="S73" s="18" t="n">
        <v>2.16559861</v>
      </c>
      <c r="T73" s="20" t="n">
        <v>0.66705595</v>
      </c>
    </row>
    <row r="74" spans="1:20">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row>
    <row r="75" spans="1:20">
      <c r="A75" s="15" t="s">
        <v>417</v>
      </c>
      <c r="B75" s="17" t="n">
        <v>2969</v>
      </c>
      <c r="C75" s="18">
        <f>(2629.0/B75*100)</f>
        <v/>
      </c>
      <c r="D75" s="19" t="n">
        <v>340</v>
      </c>
      <c r="E75" s="18" t="n">
        <v>73.52814121999999</v>
      </c>
      <c r="F75" s="20" t="n">
        <v>2.22360179</v>
      </c>
      <c r="G75" s="18" t="n">
        <v>1.1498963</v>
      </c>
      <c r="H75" s="20" t="n">
        <v>0.39121382</v>
      </c>
      <c r="I75" s="18" t="n">
        <v>0.39923909</v>
      </c>
      <c r="J75" s="20" t="n">
        <v>0.31796532</v>
      </c>
      <c r="K75" s="18" t="s">
        <v>349</v>
      </c>
      <c r="L75" s="20" t="s">
        <v>349</v>
      </c>
      <c r="M75" s="18" t="n">
        <v>6.0824268</v>
      </c>
      <c r="N75" s="20" t="n">
        <v>1.30579662</v>
      </c>
      <c r="O75" s="18" t="n">
        <v>0</v>
      </c>
      <c r="P75" s="20" t="n">
        <v>0</v>
      </c>
      <c r="Q75" s="18" t="n">
        <v>0</v>
      </c>
      <c r="R75" s="20" t="n">
        <v>0</v>
      </c>
      <c r="S75" s="18" t="n">
        <v>18.84029659</v>
      </c>
      <c r="T75" s="20" t="n">
        <v>2.06154131</v>
      </c>
    </row>
    <row r="76" spans="1:20">
      <c r="A76" s="15" t="s">
        <v>418</v>
      </c>
      <c r="B76" s="17" t="n">
        <v>7115</v>
      </c>
      <c r="C76" s="18">
        <f>(6237.0/B76*100)</f>
        <v/>
      </c>
      <c r="D76" s="19" t="n">
        <v>878</v>
      </c>
      <c r="E76" s="18" t="n">
        <v>87.68770508</v>
      </c>
      <c r="F76" s="20" t="n">
        <v>1.34662811</v>
      </c>
      <c r="G76" s="18" t="n">
        <v>3.12359672</v>
      </c>
      <c r="H76" s="20" t="n">
        <v>0.75860681</v>
      </c>
      <c r="I76" s="18" t="n">
        <v>3.03127701</v>
      </c>
      <c r="J76" s="20" t="n">
        <v>0.6672084700000001</v>
      </c>
      <c r="K76" s="18" t="s">
        <v>349</v>
      </c>
      <c r="L76" s="20" t="s">
        <v>349</v>
      </c>
      <c r="M76" s="18" t="n">
        <v>1.10505575</v>
      </c>
      <c r="N76" s="20" t="n">
        <v>0.47944848</v>
      </c>
      <c r="O76" s="18" t="n">
        <v>0</v>
      </c>
      <c r="P76" s="20" t="n">
        <v>0</v>
      </c>
      <c r="Q76" s="18" t="n">
        <v>0</v>
      </c>
      <c r="R76" s="20" t="n">
        <v>0</v>
      </c>
      <c r="S76" s="18" t="n">
        <v>5.05236544</v>
      </c>
      <c r="T76" s="20" t="n">
        <v>0.9567978700000001</v>
      </c>
    </row>
    <row r="77" spans="1:20">
      <c r="A77" s="15" t="s">
        <v>419</v>
      </c>
      <c r="B77" s="17" t="n">
        <v>3154</v>
      </c>
      <c r="C77" s="18">
        <f>(2774.0/B77*100)</f>
        <v/>
      </c>
      <c r="D77" s="19" t="n">
        <v>380</v>
      </c>
      <c r="E77" s="18" t="n">
        <v>68.85390499</v>
      </c>
      <c r="F77" s="20" t="n">
        <v>2.70370099</v>
      </c>
      <c r="G77" s="18" t="n">
        <v>5.77188683</v>
      </c>
      <c r="H77" s="20" t="n">
        <v>1.22609838</v>
      </c>
      <c r="I77" s="18" t="n">
        <v>0.2025696</v>
      </c>
      <c r="J77" s="20" t="n">
        <v>0.20502004</v>
      </c>
      <c r="K77" s="18" t="s">
        <v>349</v>
      </c>
      <c r="L77" s="20" t="s">
        <v>349</v>
      </c>
      <c r="M77" s="18" t="n">
        <v>4.10269471</v>
      </c>
      <c r="N77" s="20" t="n">
        <v>1.1487307</v>
      </c>
      <c r="O77" s="18" t="n">
        <v>0</v>
      </c>
      <c r="P77" s="20" t="n">
        <v>0</v>
      </c>
      <c r="Q77" s="18" t="n">
        <v>0</v>
      </c>
      <c r="R77" s="20" t="n">
        <v>0</v>
      </c>
      <c r="S77" s="18" t="n">
        <v>21.06894387</v>
      </c>
      <c r="T77" s="20" t="n">
        <v>2.20671461</v>
      </c>
    </row>
    <row r="78" spans="1:20">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row>
    <row customHeight="1" ht="25" r="79" spans="1:20">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row>
    <row r="80" spans="1:20">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4698</v>
      </c>
      <c r="C81" s="18">
        <f>(4105.0/B81*100)</f>
        <v/>
      </c>
      <c r="D81" s="19" t="n">
        <v>593</v>
      </c>
      <c r="E81" s="18" t="n">
        <v>90.04392615</v>
      </c>
      <c r="F81" s="20" t="n">
        <v>1.47259501</v>
      </c>
      <c r="G81" s="18" t="n">
        <v>2.48311486</v>
      </c>
      <c r="H81" s="20" t="n">
        <v>0.79718026</v>
      </c>
      <c r="I81" s="18" t="n">
        <v>4.70840924</v>
      </c>
      <c r="J81" s="20" t="n">
        <v>1.03004886</v>
      </c>
      <c r="K81" s="18" t="s">
        <v>349</v>
      </c>
      <c r="L81" s="20" t="s">
        <v>349</v>
      </c>
      <c r="M81" s="18" t="n">
        <v>0.23290639</v>
      </c>
      <c r="N81" s="20" t="n">
        <v>0.22309056</v>
      </c>
      <c r="O81" s="18" t="n">
        <v>0</v>
      </c>
      <c r="P81" s="20" t="n">
        <v>0</v>
      </c>
      <c r="Q81" s="18" t="n">
        <v>0</v>
      </c>
      <c r="R81" s="20" t="n">
        <v>0</v>
      </c>
      <c r="S81" s="18" t="n">
        <v>2.53164335</v>
      </c>
      <c r="T81" s="20" t="n">
        <v>0.74321594</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(6295.0/B7*100)</f>
        <v/>
      </c>
      <c r="D7" s="19" t="n">
        <v>868</v>
      </c>
      <c r="E7" s="18" t="n">
        <v>19.75965192</v>
      </c>
      <c r="F7" s="20" t="n">
        <v>1.3358367</v>
      </c>
      <c r="G7" s="18" t="n">
        <v>79.1835131</v>
      </c>
      <c r="H7" s="20" t="n">
        <v>1.3188732</v>
      </c>
      <c r="I7" s="18" t="s">
        <v>349</v>
      </c>
      <c r="J7" s="20" t="s">
        <v>349</v>
      </c>
      <c r="K7" s="18" t="n">
        <v>0.75882348</v>
      </c>
      <c r="L7" s="20" t="n">
        <v>0.23536159</v>
      </c>
      <c r="M7" s="18" t="n">
        <v>0</v>
      </c>
      <c r="N7" s="20" t="n">
        <v>0</v>
      </c>
      <c r="O7" s="18" t="n">
        <v>0</v>
      </c>
      <c r="P7" s="20" t="n">
        <v>0</v>
      </c>
      <c r="Q7" s="18" t="n">
        <v>0.29801149</v>
      </c>
      <c r="R7" s="20" t="n">
        <v>0.12383973</v>
      </c>
    </row>
    <row r="8" spans="1:18">
      <c r="A8" s="15" t="s">
        <v>350</v>
      </c>
      <c r="B8" s="17" t="n">
        <v>3443</v>
      </c>
      <c r="C8" s="18">
        <f>(3014.0/B8*100)</f>
        <v/>
      </c>
      <c r="D8" s="19" t="n">
        <v>429</v>
      </c>
      <c r="E8" s="18" t="n">
        <v>21.94827936</v>
      </c>
      <c r="F8" s="20" t="n">
        <v>1.99972461</v>
      </c>
      <c r="G8" s="18" t="n">
        <v>72.76902022</v>
      </c>
      <c r="H8" s="20" t="n">
        <v>1.99621451</v>
      </c>
      <c r="I8" s="18" t="s">
        <v>349</v>
      </c>
      <c r="J8" s="20" t="s">
        <v>349</v>
      </c>
      <c r="K8" s="18" t="n">
        <v>2.17008056</v>
      </c>
      <c r="L8" s="20" t="n">
        <v>0.8279377</v>
      </c>
      <c r="M8" s="18" t="n">
        <v>0</v>
      </c>
      <c r="N8" s="20" t="n">
        <v>0</v>
      </c>
      <c r="O8" s="18" t="n">
        <v>0</v>
      </c>
      <c r="P8" s="20" t="n">
        <v>0</v>
      </c>
      <c r="Q8" s="18" t="n">
        <v>3.11261986</v>
      </c>
      <c r="R8" s="20" t="n">
        <v>0.84374321</v>
      </c>
    </row>
    <row r="9" spans="1:18">
      <c r="A9" s="15" t="s">
        <v>351</v>
      </c>
      <c r="B9" s="17" t="n">
        <v>4752</v>
      </c>
      <c r="C9" s="18">
        <f>(4179.0/B9*100)</f>
        <v/>
      </c>
      <c r="D9" s="19" t="n">
        <v>573</v>
      </c>
      <c r="E9" s="18" t="n">
        <v>20.01300774</v>
      </c>
      <c r="F9" s="20" t="n">
        <v>1.79063777</v>
      </c>
      <c r="G9" s="18" t="n">
        <v>76.60013788000001</v>
      </c>
      <c r="H9" s="20" t="n">
        <v>1.80181161</v>
      </c>
      <c r="I9" s="18" t="s">
        <v>349</v>
      </c>
      <c r="J9" s="20" t="s">
        <v>349</v>
      </c>
      <c r="K9" s="18" t="n">
        <v>2.60120391</v>
      </c>
      <c r="L9" s="20" t="n">
        <v>0.8255453</v>
      </c>
      <c r="M9" s="18" t="n">
        <v>0.38596732</v>
      </c>
      <c r="N9" s="20" t="n">
        <v>0.21044736</v>
      </c>
      <c r="O9" s="18" t="n">
        <v>0</v>
      </c>
      <c r="P9" s="20" t="n">
        <v>0</v>
      </c>
      <c r="Q9" s="18" t="n">
        <v>0.39968315</v>
      </c>
      <c r="R9" s="20" t="n">
        <v>0.31961541</v>
      </c>
    </row>
    <row r="10" spans="1:18">
      <c r="A10" s="15" t="s">
        <v>352</v>
      </c>
      <c r="B10" s="17" t="n">
        <v>10022</v>
      </c>
      <c r="C10" s="18">
        <f>(8764.0/B10*100)</f>
        <v/>
      </c>
      <c r="D10" s="19" t="n">
        <v>1258</v>
      </c>
      <c r="E10" s="18" t="n">
        <v>15.48932656</v>
      </c>
      <c r="F10" s="20" t="n">
        <v>1.44910752</v>
      </c>
      <c r="G10" s="18" t="n">
        <v>83.44658286000001</v>
      </c>
      <c r="H10" s="20" t="n">
        <v>1.52062053</v>
      </c>
      <c r="I10" s="18" t="s">
        <v>349</v>
      </c>
      <c r="J10" s="20" t="s">
        <v>349</v>
      </c>
      <c r="K10" s="18" t="n">
        <v>0.31886601</v>
      </c>
      <c r="L10" s="20" t="n">
        <v>0.12184009</v>
      </c>
      <c r="M10" s="18" t="n">
        <v>0.01100954</v>
      </c>
      <c r="N10" s="20" t="n">
        <v>0.01099209</v>
      </c>
      <c r="O10" s="18" t="n">
        <v>0</v>
      </c>
      <c r="P10" s="20" t="n">
        <v>0</v>
      </c>
      <c r="Q10" s="18" t="n">
        <v>0.73421504</v>
      </c>
      <c r="R10" s="20" t="n">
        <v>0.31913513</v>
      </c>
    </row>
    <row r="11" spans="1:18">
      <c r="A11" s="15" t="s">
        <v>353</v>
      </c>
      <c r="B11" s="17" t="n">
        <v>3500</v>
      </c>
      <c r="C11" s="18">
        <f>(3091.0/B11*100)</f>
        <v/>
      </c>
      <c r="D11" s="19" t="n">
        <v>409</v>
      </c>
      <c r="E11" s="18" t="n">
        <v>39.89005823</v>
      </c>
      <c r="F11" s="20" t="n">
        <v>2.56865498</v>
      </c>
      <c r="G11" s="18" t="n">
        <v>54.34126224</v>
      </c>
      <c r="H11" s="20" t="n">
        <v>2.62913944</v>
      </c>
      <c r="I11" s="18" t="s">
        <v>349</v>
      </c>
      <c r="J11" s="20" t="s">
        <v>349</v>
      </c>
      <c r="K11" s="18" t="n">
        <v>2.23670452</v>
      </c>
      <c r="L11" s="20" t="n">
        <v>0.59540792</v>
      </c>
      <c r="M11" s="18" t="n">
        <v>0</v>
      </c>
      <c r="N11" s="20" t="n">
        <v>0</v>
      </c>
      <c r="O11" s="18" t="n">
        <v>0</v>
      </c>
      <c r="P11" s="20" t="n">
        <v>0</v>
      </c>
      <c r="Q11" s="18" t="n">
        <v>3.53197501</v>
      </c>
      <c r="R11" s="20" t="n">
        <v>1.11889604</v>
      </c>
    </row>
    <row r="12" spans="1:18">
      <c r="A12" s="15" t="s">
        <v>354</v>
      </c>
      <c r="B12" s="17" t="n">
        <v>3422</v>
      </c>
      <c r="C12" s="18">
        <f>(3041.0/B12*100)</f>
        <v/>
      </c>
      <c r="D12" s="19" t="n">
        <v>381</v>
      </c>
      <c r="E12" s="18" t="n">
        <v>31.57119183</v>
      </c>
      <c r="F12" s="20" t="n">
        <v>2.65541444</v>
      </c>
      <c r="G12" s="18" t="n">
        <v>65.99010549</v>
      </c>
      <c r="H12" s="20" t="n">
        <v>2.73503358</v>
      </c>
      <c r="I12" s="18" t="s">
        <v>349</v>
      </c>
      <c r="J12" s="20" t="s">
        <v>349</v>
      </c>
      <c r="K12" s="18" t="n">
        <v>0.98879985</v>
      </c>
      <c r="L12" s="20" t="n">
        <v>0.58414777</v>
      </c>
      <c r="M12" s="18" t="n">
        <v>0</v>
      </c>
      <c r="N12" s="20" t="n">
        <v>0</v>
      </c>
      <c r="O12" s="18" t="n">
        <v>0</v>
      </c>
      <c r="P12" s="20" t="n">
        <v>0</v>
      </c>
      <c r="Q12" s="18" t="n">
        <v>1.44990283</v>
      </c>
      <c r="R12" s="20" t="n">
        <v>0.86244502</v>
      </c>
    </row>
    <row r="13" spans="1:18">
      <c r="A13" s="15" t="s">
        <v>355</v>
      </c>
      <c r="B13" s="17" t="n">
        <v>3602</v>
      </c>
      <c r="C13" s="18">
        <f>(3176.0/B13*100)</f>
        <v/>
      </c>
      <c r="D13" s="19" t="n">
        <v>426</v>
      </c>
      <c r="E13" s="18" t="n">
        <v>19.50751043</v>
      </c>
      <c r="F13" s="20" t="n">
        <v>2.21733942</v>
      </c>
      <c r="G13" s="18" t="n">
        <v>78.40568690000001</v>
      </c>
      <c r="H13" s="20" t="n">
        <v>2.22009106</v>
      </c>
      <c r="I13" s="18" t="s">
        <v>349</v>
      </c>
      <c r="J13" s="20" t="s">
        <v>349</v>
      </c>
      <c r="K13" s="18" t="n">
        <v>1.51067613</v>
      </c>
      <c r="L13" s="20" t="n">
        <v>0.67636882</v>
      </c>
      <c r="M13" s="18" t="n">
        <v>0</v>
      </c>
      <c r="N13" s="20" t="n">
        <v>0</v>
      </c>
      <c r="O13" s="18" t="n">
        <v>0</v>
      </c>
      <c r="P13" s="20" t="n">
        <v>0</v>
      </c>
      <c r="Q13" s="18" t="n">
        <v>0.57612654</v>
      </c>
      <c r="R13" s="20" t="n">
        <v>0.35382095</v>
      </c>
    </row>
    <row r="14" spans="1:18">
      <c r="A14" s="15" t="s">
        <v>356</v>
      </c>
      <c r="B14" s="17" t="n">
        <v>2788</v>
      </c>
      <c r="C14" s="18">
        <f>(2462.0/B14*100)</f>
        <v/>
      </c>
      <c r="D14" s="19" t="n">
        <v>326</v>
      </c>
      <c r="E14" s="18" t="n">
        <v>26.11751499</v>
      </c>
      <c r="F14" s="20" t="n">
        <v>2.33287738</v>
      </c>
      <c r="G14" s="18" t="n">
        <v>72.56720534999999</v>
      </c>
      <c r="H14" s="20" t="n">
        <v>2.37420261</v>
      </c>
      <c r="I14" s="18" t="s">
        <v>349</v>
      </c>
      <c r="J14" s="20" t="s">
        <v>349</v>
      </c>
      <c r="K14" s="18" t="n">
        <v>0.52238248</v>
      </c>
      <c r="L14" s="20" t="n">
        <v>0.38022059</v>
      </c>
      <c r="M14" s="18" t="n">
        <v>0</v>
      </c>
      <c r="N14" s="20" t="n">
        <v>0</v>
      </c>
      <c r="O14" s="18" t="n">
        <v>0</v>
      </c>
      <c r="P14" s="20" t="n">
        <v>0</v>
      </c>
      <c r="Q14" s="18" t="n">
        <v>0.79289718</v>
      </c>
      <c r="R14" s="20" t="n">
        <v>0.46734371</v>
      </c>
    </row>
    <row r="15" spans="1:18">
      <c r="A15" s="15" t="s">
        <v>357</v>
      </c>
      <c r="B15" s="17" t="n">
        <v>2863</v>
      </c>
      <c r="C15" s="18">
        <f>(2520.0/B15*100)</f>
        <v/>
      </c>
      <c r="D15" s="19" t="n">
        <v>343</v>
      </c>
      <c r="E15" s="18" t="n">
        <v>23.62247604</v>
      </c>
      <c r="F15" s="20" t="n">
        <v>2.31678485</v>
      </c>
      <c r="G15" s="18" t="n">
        <v>73.37403648999999</v>
      </c>
      <c r="H15" s="20" t="n">
        <v>2.39335512</v>
      </c>
      <c r="I15" s="18" t="s">
        <v>349</v>
      </c>
      <c r="J15" s="20" t="s">
        <v>349</v>
      </c>
      <c r="K15" s="18" t="n">
        <v>1.52375888</v>
      </c>
      <c r="L15" s="20" t="n">
        <v>0.68551837</v>
      </c>
      <c r="M15" s="18" t="n">
        <v>0</v>
      </c>
      <c r="N15" s="20" t="n">
        <v>0</v>
      </c>
      <c r="O15" s="18" t="n">
        <v>0</v>
      </c>
      <c r="P15" s="20" t="n">
        <v>0</v>
      </c>
      <c r="Q15" s="18" t="n">
        <v>1.47972858</v>
      </c>
      <c r="R15" s="20" t="n">
        <v>0.67668856</v>
      </c>
    </row>
    <row r="16" spans="1:18">
      <c r="A16" s="15" t="s">
        <v>358</v>
      </c>
      <c r="B16" s="17" t="n">
        <v>3111</v>
      </c>
      <c r="C16" s="18">
        <f>(2744.0/B16*100)</f>
        <v/>
      </c>
      <c r="D16" s="19" t="n">
        <v>367</v>
      </c>
      <c r="E16" s="18" t="n">
        <v>19.04566177</v>
      </c>
      <c r="F16" s="20" t="n">
        <v>1.93316572</v>
      </c>
      <c r="G16" s="18" t="n">
        <v>75.27322479</v>
      </c>
      <c r="H16" s="20" t="n">
        <v>2.29789474</v>
      </c>
      <c r="I16" s="18" t="s">
        <v>349</v>
      </c>
      <c r="J16" s="20" t="s">
        <v>349</v>
      </c>
      <c r="K16" s="18" t="n">
        <v>3.06318978</v>
      </c>
      <c r="L16" s="20" t="n">
        <v>0.96228794</v>
      </c>
      <c r="M16" s="18" t="n">
        <v>0</v>
      </c>
      <c r="N16" s="20" t="n">
        <v>0</v>
      </c>
      <c r="O16" s="18" t="n">
        <v>0</v>
      </c>
      <c r="P16" s="20" t="n">
        <v>0</v>
      </c>
      <c r="Q16" s="18" t="n">
        <v>2.61792367</v>
      </c>
      <c r="R16" s="20" t="n">
        <v>0.72817579</v>
      </c>
    </row>
    <row r="17" spans="1:18">
      <c r="A17" s="15" t="s">
        <v>359</v>
      </c>
      <c r="B17" s="17" t="n">
        <v>3197</v>
      </c>
      <c r="C17" s="18">
        <f>(2819.0/B17*100)</f>
        <v/>
      </c>
      <c r="D17" s="19" t="n">
        <v>378</v>
      </c>
      <c r="E17" s="18" t="n">
        <v>25.8632314</v>
      </c>
      <c r="F17" s="20" t="n">
        <v>2.618382</v>
      </c>
      <c r="G17" s="18" t="n">
        <v>72.97069337000001</v>
      </c>
      <c r="H17" s="20" t="n">
        <v>2.65548204</v>
      </c>
      <c r="I17" s="18" t="s">
        <v>349</v>
      </c>
      <c r="J17" s="20" t="s">
        <v>349</v>
      </c>
      <c r="K17" s="18" t="n">
        <v>0</v>
      </c>
      <c r="L17" s="20" t="n">
        <v>0</v>
      </c>
      <c r="M17" s="18" t="n">
        <v>0</v>
      </c>
      <c r="N17" s="20" t="n">
        <v>0</v>
      </c>
      <c r="O17" s="18" t="n">
        <v>0</v>
      </c>
      <c r="P17" s="20" t="n">
        <v>0</v>
      </c>
      <c r="Q17" s="18" t="n">
        <v>1.16607523</v>
      </c>
      <c r="R17" s="20" t="n">
        <v>0.48383659</v>
      </c>
    </row>
    <row r="18" spans="1:18">
      <c r="A18" s="15" t="s">
        <v>360</v>
      </c>
      <c r="B18" s="17" t="n">
        <v>2706</v>
      </c>
      <c r="C18" s="18">
        <f>(2385.0/B18*100)</f>
        <v/>
      </c>
      <c r="D18" s="19" t="n">
        <v>321</v>
      </c>
      <c r="E18" s="18" t="n">
        <v>45.65389414</v>
      </c>
      <c r="F18" s="20" t="n">
        <v>3.02635641</v>
      </c>
      <c r="G18" s="18" t="n">
        <v>50.80246633</v>
      </c>
      <c r="H18" s="20" t="n">
        <v>2.96654305</v>
      </c>
      <c r="I18" s="18" t="s">
        <v>349</v>
      </c>
      <c r="J18" s="20" t="s">
        <v>349</v>
      </c>
      <c r="K18" s="18" t="n">
        <v>0.94919652</v>
      </c>
      <c r="L18" s="20" t="n">
        <v>0.45565281</v>
      </c>
      <c r="M18" s="18" t="n">
        <v>0.18990188</v>
      </c>
      <c r="N18" s="20" t="n">
        <v>0.18984673</v>
      </c>
      <c r="O18" s="18" t="n">
        <v>0</v>
      </c>
      <c r="P18" s="20" t="n">
        <v>0</v>
      </c>
      <c r="Q18" s="18" t="n">
        <v>2.40454113</v>
      </c>
      <c r="R18" s="20" t="n">
        <v>0.75551512</v>
      </c>
    </row>
    <row r="19" spans="1:18">
      <c r="A19" s="15" t="s">
        <v>361</v>
      </c>
      <c r="B19" s="17" t="n">
        <v>2850</v>
      </c>
      <c r="C19" s="18">
        <f>(2531.0/B19*100)</f>
        <v/>
      </c>
      <c r="D19" s="19" t="n">
        <v>319</v>
      </c>
      <c r="E19" s="18" t="n">
        <v>32.19840215</v>
      </c>
      <c r="F19" s="20" t="n">
        <v>2.69944469</v>
      </c>
      <c r="G19" s="18" t="n">
        <v>62.55548069</v>
      </c>
      <c r="H19" s="20" t="n">
        <v>2.68539815</v>
      </c>
      <c r="I19" s="18" t="s">
        <v>349</v>
      </c>
      <c r="J19" s="20" t="s">
        <v>349</v>
      </c>
      <c r="K19" s="18" t="n">
        <v>1.11106379</v>
      </c>
      <c r="L19" s="20" t="n">
        <v>0.56210824</v>
      </c>
      <c r="M19" s="18" t="n">
        <v>0</v>
      </c>
      <c r="N19" s="20" t="n">
        <v>0</v>
      </c>
      <c r="O19" s="18" t="n">
        <v>0</v>
      </c>
      <c r="P19" s="20" t="n">
        <v>0</v>
      </c>
      <c r="Q19" s="18" t="n">
        <v>4.13505337</v>
      </c>
      <c r="R19" s="20" t="n">
        <v>1.00034877</v>
      </c>
    </row>
    <row r="20" spans="1:18">
      <c r="A20" s="15" t="s">
        <v>362</v>
      </c>
      <c r="B20" s="17" t="n">
        <v>1741</v>
      </c>
      <c r="C20" s="18">
        <f>(1532.0/B20*100)</f>
        <v/>
      </c>
      <c r="D20" s="19" t="n">
        <v>209</v>
      </c>
      <c r="E20" s="18" t="n">
        <v>35.52319171</v>
      </c>
      <c r="F20" s="20" t="n">
        <v>3.19466468</v>
      </c>
      <c r="G20" s="18" t="n">
        <v>59.02193292</v>
      </c>
      <c r="H20" s="20" t="n">
        <v>3.28060382</v>
      </c>
      <c r="I20" s="18" t="s">
        <v>349</v>
      </c>
      <c r="J20" s="20" t="s">
        <v>349</v>
      </c>
      <c r="K20" s="18" t="n">
        <v>3.59505479</v>
      </c>
      <c r="L20" s="20" t="n">
        <v>1.37766408</v>
      </c>
      <c r="M20" s="18" t="n">
        <v>0</v>
      </c>
      <c r="N20" s="20" t="n">
        <v>0</v>
      </c>
      <c r="O20" s="18" t="n">
        <v>0</v>
      </c>
      <c r="P20" s="20" t="n">
        <v>0</v>
      </c>
      <c r="Q20" s="18" t="n">
        <v>1.85982058</v>
      </c>
      <c r="R20" s="20" t="n">
        <v>0.93985867</v>
      </c>
    </row>
    <row r="21" spans="1:18">
      <c r="A21" s="15" t="s">
        <v>363</v>
      </c>
      <c r="B21" s="17" t="n">
        <v>2833</v>
      </c>
      <c r="C21" s="18">
        <f>(2379.0/B21*100)</f>
        <v/>
      </c>
      <c r="D21" s="19" t="n">
        <v>454</v>
      </c>
      <c r="E21" s="18" t="n">
        <v>25.67246475</v>
      </c>
      <c r="F21" s="20" t="n">
        <v>2.08790947</v>
      </c>
      <c r="G21" s="18" t="n">
        <v>73.45879379</v>
      </c>
      <c r="H21" s="20" t="n">
        <v>2.17893548</v>
      </c>
      <c r="I21" s="18" t="s">
        <v>349</v>
      </c>
      <c r="J21" s="20" t="s">
        <v>349</v>
      </c>
      <c r="K21" s="18" t="n">
        <v>0.20318307</v>
      </c>
      <c r="L21" s="20" t="n">
        <v>0.20200356</v>
      </c>
      <c r="M21" s="18" t="n">
        <v>0</v>
      </c>
      <c r="N21" s="20" t="n">
        <v>0</v>
      </c>
      <c r="O21" s="18" t="n">
        <v>0</v>
      </c>
      <c r="P21" s="20" t="n">
        <v>0</v>
      </c>
      <c r="Q21" s="18" t="n">
        <v>0.66555838</v>
      </c>
      <c r="R21" s="20" t="n">
        <v>0.40082465</v>
      </c>
    </row>
    <row r="22" spans="1:18">
      <c r="A22" s="15" t="s">
        <v>364</v>
      </c>
      <c r="B22" s="17" t="n">
        <v>3667</v>
      </c>
      <c r="C22" s="18">
        <f>(3207.0/B22*100)</f>
        <v/>
      </c>
      <c r="D22" s="19" t="n">
        <v>460</v>
      </c>
      <c r="E22" s="18" t="n">
        <v>27.73049921</v>
      </c>
      <c r="F22" s="20" t="n">
        <v>2.08630633</v>
      </c>
      <c r="G22" s="18" t="n">
        <v>64.96182872</v>
      </c>
      <c r="H22" s="20" t="n">
        <v>2.07722808</v>
      </c>
      <c r="I22" s="18" t="s">
        <v>349</v>
      </c>
      <c r="J22" s="20" t="s">
        <v>349</v>
      </c>
      <c r="K22" s="18" t="n">
        <v>4.28740781</v>
      </c>
      <c r="L22" s="20" t="n">
        <v>0.88387796</v>
      </c>
      <c r="M22" s="18" t="n">
        <v>0.36671236</v>
      </c>
      <c r="N22" s="20" t="n">
        <v>0.36253175</v>
      </c>
      <c r="O22" s="18" t="n">
        <v>0</v>
      </c>
      <c r="P22" s="20" t="n">
        <v>0</v>
      </c>
      <c r="Q22" s="18" t="n">
        <v>2.65355191</v>
      </c>
      <c r="R22" s="20" t="n">
        <v>1.06604778</v>
      </c>
    </row>
    <row r="23" spans="1:18">
      <c r="A23" s="15" t="s">
        <v>365</v>
      </c>
      <c r="B23" s="17" t="n">
        <v>5792</v>
      </c>
      <c r="C23" s="18">
        <f>(5062.0/B23*100)</f>
        <v/>
      </c>
      <c r="D23" s="19" t="n">
        <v>730</v>
      </c>
      <c r="E23" s="18" t="n">
        <v>27.8628461</v>
      </c>
      <c r="F23" s="20" t="n">
        <v>2.71141112</v>
      </c>
      <c r="G23" s="18" t="n">
        <v>63.31034582</v>
      </c>
      <c r="H23" s="20" t="n">
        <v>2.78586163</v>
      </c>
      <c r="I23" s="18" t="s">
        <v>349</v>
      </c>
      <c r="J23" s="20" t="s">
        <v>349</v>
      </c>
      <c r="K23" s="18" t="n">
        <v>3.18311512</v>
      </c>
      <c r="L23" s="20" t="n">
        <v>0.92036023</v>
      </c>
      <c r="M23" s="18" t="n">
        <v>0</v>
      </c>
      <c r="N23" s="20" t="n">
        <v>0</v>
      </c>
      <c r="O23" s="18" t="n">
        <v>0</v>
      </c>
      <c r="P23" s="20" t="n">
        <v>0</v>
      </c>
      <c r="Q23" s="18" t="n">
        <v>5.64369296</v>
      </c>
      <c r="R23" s="20" t="n">
        <v>1.45572615</v>
      </c>
    </row>
    <row r="24" spans="1:18">
      <c r="A24" s="15" t="s">
        <v>366</v>
      </c>
      <c r="B24" s="17" t="n">
        <v>3309</v>
      </c>
      <c r="C24" s="18">
        <f>(2913.0/B24*100)</f>
        <v/>
      </c>
      <c r="D24" s="19" t="n">
        <v>396</v>
      </c>
      <c r="E24" s="18" t="n">
        <v>15.47647748</v>
      </c>
      <c r="F24" s="20" t="n">
        <v>1.74020391</v>
      </c>
      <c r="G24" s="18" t="n">
        <v>82.9978157</v>
      </c>
      <c r="H24" s="20" t="n">
        <v>1.9926632</v>
      </c>
      <c r="I24" s="18" t="s">
        <v>349</v>
      </c>
      <c r="J24" s="20" t="s">
        <v>349</v>
      </c>
      <c r="K24" s="18" t="n">
        <v>0.24719337</v>
      </c>
      <c r="L24" s="20" t="n">
        <v>0.24635638</v>
      </c>
      <c r="M24" s="18" t="n">
        <v>0</v>
      </c>
      <c r="N24" s="20" t="n">
        <v>0</v>
      </c>
      <c r="O24" s="18" t="n">
        <v>0</v>
      </c>
      <c r="P24" s="20" t="n">
        <v>0</v>
      </c>
      <c r="Q24" s="18" t="n">
        <v>1.27851345</v>
      </c>
      <c r="R24" s="20" t="n">
        <v>0.55363806</v>
      </c>
    </row>
    <row r="25" spans="1:18">
      <c r="A25" s="15" t="s">
        <v>367</v>
      </c>
      <c r="B25" s="17" t="n">
        <v>2669</v>
      </c>
      <c r="C25" s="18">
        <f>(2343.0/B25*100)</f>
        <v/>
      </c>
      <c r="D25" s="19" t="n">
        <v>326</v>
      </c>
      <c r="E25" s="18" t="n">
        <v>24.48047612</v>
      </c>
      <c r="F25" s="20" t="n">
        <v>2.50706409</v>
      </c>
      <c r="G25" s="18" t="n">
        <v>73.45706163</v>
      </c>
      <c r="H25" s="20" t="n">
        <v>2.42810815</v>
      </c>
      <c r="I25" s="18" t="s">
        <v>349</v>
      </c>
      <c r="J25" s="20" t="s">
        <v>349</v>
      </c>
      <c r="K25" s="18" t="n">
        <v>1.09757806</v>
      </c>
      <c r="L25" s="20" t="n">
        <v>0.62482516</v>
      </c>
      <c r="M25" s="18" t="n">
        <v>0</v>
      </c>
      <c r="N25" s="20" t="n">
        <v>0</v>
      </c>
      <c r="O25" s="18" t="n">
        <v>0</v>
      </c>
      <c r="P25" s="20" t="n">
        <v>0</v>
      </c>
      <c r="Q25" s="18" t="n">
        <v>0.96488419</v>
      </c>
      <c r="R25" s="20" t="n">
        <v>0.54368188</v>
      </c>
    </row>
    <row r="26" spans="1:18">
      <c r="A26" s="15" t="s">
        <v>368</v>
      </c>
      <c r="B26" s="17" t="n">
        <v>2419</v>
      </c>
      <c r="C26" s="18">
        <f>(2132.0/B26*100)</f>
        <v/>
      </c>
      <c r="D26" s="19" t="n">
        <v>287</v>
      </c>
      <c r="E26" s="18" t="n">
        <v>30.99349703</v>
      </c>
      <c r="F26" s="20" t="n">
        <v>2.93533312</v>
      </c>
      <c r="G26" s="18" t="n">
        <v>66.91163124000001</v>
      </c>
      <c r="H26" s="20" t="n">
        <v>3.10334349</v>
      </c>
      <c r="I26" s="18" t="s">
        <v>349</v>
      </c>
      <c r="J26" s="20" t="s">
        <v>349</v>
      </c>
      <c r="K26" s="18" t="n">
        <v>1.53378339</v>
      </c>
      <c r="L26" s="20" t="n">
        <v>0.91969659</v>
      </c>
      <c r="M26" s="18" t="n">
        <v>0</v>
      </c>
      <c r="N26" s="20" t="n">
        <v>0</v>
      </c>
      <c r="O26" s="18" t="n">
        <v>0</v>
      </c>
      <c r="P26" s="20" t="n">
        <v>0</v>
      </c>
      <c r="Q26" s="18" t="n">
        <v>0.56108834</v>
      </c>
      <c r="R26" s="20" t="n">
        <v>0.39320188</v>
      </c>
    </row>
    <row r="27" spans="1:18">
      <c r="A27" s="15" t="s">
        <v>369</v>
      </c>
      <c r="B27" s="17" t="n">
        <v>2683</v>
      </c>
      <c r="C27" s="18">
        <f>(2359.0/B27*100)</f>
        <v/>
      </c>
      <c r="D27" s="19" t="n">
        <v>324</v>
      </c>
      <c r="E27" s="18" t="n">
        <v>31.33376627</v>
      </c>
      <c r="F27" s="20" t="n">
        <v>2.9734734</v>
      </c>
      <c r="G27" s="18" t="n">
        <v>65.9163574</v>
      </c>
      <c r="H27" s="20" t="n">
        <v>2.97329637</v>
      </c>
      <c r="I27" s="18" t="s">
        <v>349</v>
      </c>
      <c r="J27" s="20" t="s">
        <v>349</v>
      </c>
      <c r="K27" s="18" t="n">
        <v>0.62005408</v>
      </c>
      <c r="L27" s="20" t="n">
        <v>0.42995581</v>
      </c>
      <c r="M27" s="18" t="n">
        <v>0</v>
      </c>
      <c r="N27" s="20" t="n">
        <v>0</v>
      </c>
      <c r="O27" s="18" t="n">
        <v>0</v>
      </c>
      <c r="P27" s="20" t="n">
        <v>0</v>
      </c>
      <c r="Q27" s="18" t="n">
        <v>2.12982225</v>
      </c>
      <c r="R27" s="20" t="n">
        <v>0.78619314</v>
      </c>
    </row>
    <row r="28" spans="1:18">
      <c r="A28" s="15" t="s">
        <v>370</v>
      </c>
      <c r="B28" s="17" t="n">
        <v>3803</v>
      </c>
      <c r="C28" s="18">
        <f>(3398.0/B28*100)</f>
        <v/>
      </c>
      <c r="D28" s="19" t="n">
        <v>405</v>
      </c>
      <c r="E28" s="18" t="n">
        <v>43.27740851</v>
      </c>
      <c r="F28" s="20" t="n">
        <v>2.66625508</v>
      </c>
      <c r="G28" s="18" t="n">
        <v>54.13218006</v>
      </c>
      <c r="H28" s="20" t="n">
        <v>2.83219016</v>
      </c>
      <c r="I28" s="18" t="s">
        <v>349</v>
      </c>
      <c r="J28" s="20" t="s">
        <v>349</v>
      </c>
      <c r="K28" s="18" t="n">
        <v>1.82630731</v>
      </c>
      <c r="L28" s="20" t="n">
        <v>0.8498833099999999</v>
      </c>
      <c r="M28" s="18" t="n">
        <v>0</v>
      </c>
      <c r="N28" s="20" t="n">
        <v>0</v>
      </c>
      <c r="O28" s="18" t="n">
        <v>0</v>
      </c>
      <c r="P28" s="20" t="n">
        <v>0</v>
      </c>
      <c r="Q28" s="18" t="n">
        <v>0.76410413</v>
      </c>
      <c r="R28" s="20" t="n">
        <v>0.66810882</v>
      </c>
    </row>
    <row r="29" spans="1:18">
      <c r="A29" s="15" t="s">
        <v>371</v>
      </c>
      <c r="B29" s="17" t="n">
        <v>2700</v>
      </c>
      <c r="C29" s="18">
        <f>(2368.0/B29*100)</f>
        <v/>
      </c>
      <c r="D29" s="19" t="n">
        <v>332</v>
      </c>
      <c r="E29" s="18" t="n">
        <v>14.17196599</v>
      </c>
      <c r="F29" s="20" t="n">
        <v>1.58709071</v>
      </c>
      <c r="G29" s="18" t="n">
        <v>85.51404089</v>
      </c>
      <c r="H29" s="20" t="n">
        <v>1.61143649</v>
      </c>
      <c r="I29" s="18" t="s">
        <v>349</v>
      </c>
      <c r="J29" s="20" t="s">
        <v>349</v>
      </c>
      <c r="K29" s="18" t="n">
        <v>0.31399312</v>
      </c>
      <c r="L29" s="20" t="n">
        <v>0.32331344</v>
      </c>
      <c r="M29" s="18" t="n">
        <v>0</v>
      </c>
      <c r="N29" s="20" t="n">
        <v>0</v>
      </c>
      <c r="O29" s="18" t="n">
        <v>0</v>
      </c>
      <c r="P29" s="20" t="n">
        <v>0</v>
      </c>
      <c r="Q29" s="18" t="n">
        <v>0</v>
      </c>
      <c r="R29" s="20" t="n">
        <v>0</v>
      </c>
    </row>
    <row r="30" spans="1:18">
      <c r="A30" s="15" t="s">
        <v>372</v>
      </c>
      <c r="B30" s="17" t="n">
        <v>2257</v>
      </c>
      <c r="C30" s="18">
        <f>(1964.0/B30*100)</f>
        <v/>
      </c>
      <c r="D30" s="19" t="n">
        <v>293</v>
      </c>
      <c r="E30" s="18" t="n">
        <v>16.58354284</v>
      </c>
      <c r="F30" s="20" t="n">
        <v>2.20580332</v>
      </c>
      <c r="G30" s="18" t="n">
        <v>81.03541118</v>
      </c>
      <c r="H30" s="20" t="n">
        <v>2.32022093</v>
      </c>
      <c r="I30" s="18" t="s">
        <v>349</v>
      </c>
      <c r="J30" s="20" t="s">
        <v>349</v>
      </c>
      <c r="K30" s="18" t="n">
        <v>1.6806718</v>
      </c>
      <c r="L30" s="20" t="n">
        <v>0.96844356</v>
      </c>
      <c r="M30" s="18" t="n">
        <v>0</v>
      </c>
      <c r="N30" s="20" t="n">
        <v>0</v>
      </c>
      <c r="O30" s="18" t="n">
        <v>0</v>
      </c>
      <c r="P30" s="20" t="n">
        <v>0</v>
      </c>
      <c r="Q30" s="18" t="n">
        <v>0.70037418</v>
      </c>
      <c r="R30" s="20" t="n">
        <v>0.47321054</v>
      </c>
    </row>
    <row r="31" spans="1:18">
      <c r="A31" s="15" t="s">
        <v>373</v>
      </c>
      <c r="B31" s="17" t="n">
        <v>2706</v>
      </c>
      <c r="C31" s="18">
        <f>(2391.0/B31*100)</f>
        <v/>
      </c>
      <c r="D31" s="19" t="n">
        <v>315</v>
      </c>
      <c r="E31" s="18" t="n">
        <v>25.82484812</v>
      </c>
      <c r="F31" s="20" t="n">
        <v>2.64507051</v>
      </c>
      <c r="G31" s="18" t="n">
        <v>69.29580971</v>
      </c>
      <c r="H31" s="20" t="n">
        <v>2.79193792</v>
      </c>
      <c r="I31" s="18" t="s">
        <v>349</v>
      </c>
      <c r="J31" s="20" t="s">
        <v>349</v>
      </c>
      <c r="K31" s="18" t="n">
        <v>3.22589283</v>
      </c>
      <c r="L31" s="20" t="n">
        <v>0.99950212</v>
      </c>
      <c r="M31" s="18" t="n">
        <v>0</v>
      </c>
      <c r="N31" s="20" t="n">
        <v>0</v>
      </c>
      <c r="O31" s="18" t="n">
        <v>0</v>
      </c>
      <c r="P31" s="20" t="n">
        <v>0</v>
      </c>
      <c r="Q31" s="18" t="n">
        <v>1.65344934</v>
      </c>
      <c r="R31" s="20" t="n">
        <v>0.76731429</v>
      </c>
    </row>
    <row r="32" spans="1:18">
      <c r="A32" s="15" t="s">
        <v>374</v>
      </c>
      <c r="B32" s="17" t="n">
        <v>2209</v>
      </c>
      <c r="C32" s="18">
        <f>(1850.0/B32*100)</f>
        <v/>
      </c>
      <c r="D32" s="19" t="n">
        <v>359</v>
      </c>
      <c r="E32" s="18" t="n">
        <v>25.62698069</v>
      </c>
      <c r="F32" s="20" t="n">
        <v>2.02162038</v>
      </c>
      <c r="G32" s="18" t="n">
        <v>73.23068904</v>
      </c>
      <c r="H32" s="20" t="n">
        <v>2.04847922</v>
      </c>
      <c r="I32" s="18" t="s">
        <v>349</v>
      </c>
      <c r="J32" s="20" t="s">
        <v>349</v>
      </c>
      <c r="K32" s="18" t="n">
        <v>0.8977852200000001</v>
      </c>
      <c r="L32" s="20" t="n">
        <v>0.48758229</v>
      </c>
      <c r="M32" s="18" t="n">
        <v>0</v>
      </c>
      <c r="N32" s="20" t="n">
        <v>0</v>
      </c>
      <c r="O32" s="18" t="n">
        <v>0</v>
      </c>
      <c r="P32" s="20" t="n">
        <v>0</v>
      </c>
      <c r="Q32" s="18" t="n">
        <v>0.24454505</v>
      </c>
      <c r="R32" s="20" t="n">
        <v>0.24453873</v>
      </c>
    </row>
    <row r="33" spans="1:18">
      <c r="A33" s="15" t="s">
        <v>375</v>
      </c>
      <c r="B33" s="17" t="n">
        <v>3651</v>
      </c>
      <c r="C33" s="18">
        <f>(3235.0/B33*100)</f>
        <v/>
      </c>
      <c r="D33" s="19" t="n">
        <v>416</v>
      </c>
      <c r="E33" s="18" t="n">
        <v>26.26338467</v>
      </c>
      <c r="F33" s="20" t="n">
        <v>3.18127048</v>
      </c>
      <c r="G33" s="18" t="n">
        <v>71.60428400000001</v>
      </c>
      <c r="H33" s="20" t="n">
        <v>3.24230327</v>
      </c>
      <c r="I33" s="18" t="s">
        <v>349</v>
      </c>
      <c r="J33" s="20" t="s">
        <v>349</v>
      </c>
      <c r="K33" s="18" t="n">
        <v>1.94117488</v>
      </c>
      <c r="L33" s="20" t="n">
        <v>0.9862322</v>
      </c>
      <c r="M33" s="18" t="n">
        <v>0</v>
      </c>
      <c r="N33" s="20" t="n">
        <v>0</v>
      </c>
      <c r="O33" s="18" t="n">
        <v>0</v>
      </c>
      <c r="P33" s="20" t="n">
        <v>0</v>
      </c>
      <c r="Q33" s="18" t="n">
        <v>0.19115645</v>
      </c>
      <c r="R33" s="20" t="n">
        <v>0.13069538</v>
      </c>
    </row>
    <row r="34" spans="1:18">
      <c r="A34" s="15" t="s">
        <v>376</v>
      </c>
      <c r="B34" s="17" t="n">
        <v>3035</v>
      </c>
      <c r="C34" s="18">
        <f>(2669.0/B34*100)</f>
        <v/>
      </c>
      <c r="D34" s="19" t="n">
        <v>366</v>
      </c>
      <c r="E34" s="18" t="n">
        <v>34.07527556</v>
      </c>
      <c r="F34" s="20" t="n">
        <v>2.39195735</v>
      </c>
      <c r="G34" s="18" t="n">
        <v>61.27572336</v>
      </c>
      <c r="H34" s="20" t="n">
        <v>2.50280212</v>
      </c>
      <c r="I34" s="18" t="s">
        <v>349</v>
      </c>
      <c r="J34" s="20" t="s">
        <v>349</v>
      </c>
      <c r="K34" s="18" t="n">
        <v>2.08174672</v>
      </c>
      <c r="L34" s="20" t="n">
        <v>0.71814351</v>
      </c>
      <c r="M34" s="18" t="n">
        <v>0</v>
      </c>
      <c r="N34" s="20" t="n">
        <v>0</v>
      </c>
      <c r="O34" s="18" t="n">
        <v>0</v>
      </c>
      <c r="P34" s="20" t="n">
        <v>0</v>
      </c>
      <c r="Q34" s="18" t="n">
        <v>2.56725436</v>
      </c>
      <c r="R34" s="20" t="n">
        <v>1.16874594</v>
      </c>
    </row>
    <row r="35" spans="1:18">
      <c r="A35" s="15" t="s">
        <v>377</v>
      </c>
      <c r="B35" s="17" t="n">
        <v>2901</v>
      </c>
      <c r="C35" s="18">
        <f>(2565.0/B35*100)</f>
        <v/>
      </c>
      <c r="D35" s="19" t="n">
        <v>336</v>
      </c>
      <c r="E35" s="18" t="n">
        <v>31.9401729</v>
      </c>
      <c r="F35" s="20" t="n">
        <v>3.23257005</v>
      </c>
      <c r="G35" s="18" t="n">
        <v>65.63442219</v>
      </c>
      <c r="H35" s="20" t="n">
        <v>3.13682743</v>
      </c>
      <c r="I35" s="18" t="s">
        <v>349</v>
      </c>
      <c r="J35" s="20" t="s">
        <v>349</v>
      </c>
      <c r="K35" s="18" t="n">
        <v>0.46541839</v>
      </c>
      <c r="L35" s="20" t="n">
        <v>0.37935346</v>
      </c>
      <c r="M35" s="18" t="n">
        <v>0.77952069</v>
      </c>
      <c r="N35" s="20" t="n">
        <v>0.73635661</v>
      </c>
      <c r="O35" s="18" t="n">
        <v>0</v>
      </c>
      <c r="P35" s="20" t="n">
        <v>0</v>
      </c>
      <c r="Q35" s="18" t="n">
        <v>1.18046583</v>
      </c>
      <c r="R35" s="20" t="n">
        <v>0.67535066</v>
      </c>
    </row>
    <row r="36" spans="1:18">
      <c r="A36" s="15" t="s">
        <v>378</v>
      </c>
      <c r="B36" s="17" t="n">
        <v>3404</v>
      </c>
      <c r="C36" s="18">
        <f>(2975.0/B36*100)</f>
        <v/>
      </c>
      <c r="D36" s="19" t="n">
        <v>429</v>
      </c>
      <c r="E36" s="18" t="n">
        <v>24.89223877</v>
      </c>
      <c r="F36" s="20" t="n">
        <v>2.13685855</v>
      </c>
      <c r="G36" s="18" t="n">
        <v>73.57930571999999</v>
      </c>
      <c r="H36" s="20" t="n">
        <v>2.08685934</v>
      </c>
      <c r="I36" s="18" t="s">
        <v>349</v>
      </c>
      <c r="J36" s="20" t="s">
        <v>349</v>
      </c>
      <c r="K36" s="18" t="n">
        <v>0.30639979</v>
      </c>
      <c r="L36" s="20" t="n">
        <v>0.30884401</v>
      </c>
      <c r="M36" s="18" t="n">
        <v>0</v>
      </c>
      <c r="N36" s="20" t="n">
        <v>0</v>
      </c>
      <c r="O36" s="18" t="n">
        <v>0</v>
      </c>
      <c r="P36" s="20" t="n">
        <v>0</v>
      </c>
      <c r="Q36" s="18" t="n">
        <v>1.22205572</v>
      </c>
      <c r="R36" s="20" t="n">
        <v>0.59851664</v>
      </c>
    </row>
    <row r="37" spans="1:18">
      <c r="A37" s="15" t="s">
        <v>379</v>
      </c>
      <c r="B37" s="17" t="n">
        <v>2731</v>
      </c>
      <c r="C37" s="18">
        <f>(2409.0/B37*100)</f>
        <v/>
      </c>
      <c r="D37" s="19" t="n">
        <v>322</v>
      </c>
      <c r="E37" s="18" t="n">
        <v>23.04457468</v>
      </c>
      <c r="F37" s="20" t="n">
        <v>2.61140478</v>
      </c>
      <c r="G37" s="18" t="n">
        <v>71.76251705</v>
      </c>
      <c r="H37" s="20" t="n">
        <v>2.75952409</v>
      </c>
      <c r="I37" s="18" t="s">
        <v>349</v>
      </c>
      <c r="J37" s="20" t="s">
        <v>349</v>
      </c>
      <c r="K37" s="18" t="n">
        <v>3.18573478</v>
      </c>
      <c r="L37" s="20" t="n">
        <v>1.00104118</v>
      </c>
      <c r="M37" s="18" t="n">
        <v>0</v>
      </c>
      <c r="N37" s="20" t="n">
        <v>0</v>
      </c>
      <c r="O37" s="18" t="n">
        <v>0</v>
      </c>
      <c r="P37" s="20" t="n">
        <v>0</v>
      </c>
      <c r="Q37" s="18" t="n">
        <v>2.00717349</v>
      </c>
      <c r="R37" s="20" t="n">
        <v>0.76478347</v>
      </c>
    </row>
    <row r="38" spans="1:18">
      <c r="A38" s="15" t="s">
        <v>380</v>
      </c>
      <c r="B38" s="17" t="n">
        <v>2807</v>
      </c>
      <c r="C38" s="18">
        <f>(2365.0/B38*100)</f>
        <v/>
      </c>
      <c r="D38" s="19" t="n">
        <v>442</v>
      </c>
      <c r="E38" s="18" t="n">
        <v>22.17890776</v>
      </c>
      <c r="F38" s="20" t="n">
        <v>2.01830013</v>
      </c>
      <c r="G38" s="18" t="n">
        <v>71.67000513000001</v>
      </c>
      <c r="H38" s="20" t="n">
        <v>2.2505034</v>
      </c>
      <c r="I38" s="18" t="s">
        <v>349</v>
      </c>
      <c r="J38" s="20" t="s">
        <v>349</v>
      </c>
      <c r="K38" s="18" t="n">
        <v>1.92024344</v>
      </c>
      <c r="L38" s="20" t="n">
        <v>0.56473314</v>
      </c>
      <c r="M38" s="18" t="n">
        <v>0.31694284</v>
      </c>
      <c r="N38" s="20" t="n">
        <v>0.31967987</v>
      </c>
      <c r="O38" s="18" t="n">
        <v>0</v>
      </c>
      <c r="P38" s="20" t="n">
        <v>0</v>
      </c>
      <c r="Q38" s="18" t="n">
        <v>3.91390083</v>
      </c>
      <c r="R38" s="20" t="n">
        <v>1.33444321</v>
      </c>
    </row>
    <row r="39" spans="1:18">
      <c r="A39" s="15" t="s">
        <v>381</v>
      </c>
      <c r="B39" s="17" t="n">
        <v>2938</v>
      </c>
      <c r="C39" s="18">
        <f>(2583.0/B39*100)</f>
        <v/>
      </c>
      <c r="D39" s="19" t="n">
        <v>355</v>
      </c>
      <c r="E39" s="18" t="n">
        <v>43.87891559</v>
      </c>
      <c r="F39" s="20" t="n">
        <v>2.55603255</v>
      </c>
      <c r="G39" s="18" t="n">
        <v>53.34478751</v>
      </c>
      <c r="H39" s="20" t="n">
        <v>2.71442039</v>
      </c>
      <c r="I39" s="18" t="s">
        <v>349</v>
      </c>
      <c r="J39" s="20" t="s">
        <v>349</v>
      </c>
      <c r="K39" s="18" t="n">
        <v>0.62783811</v>
      </c>
      <c r="L39" s="20" t="n">
        <v>0.37377965</v>
      </c>
      <c r="M39" s="18" t="n">
        <v>0</v>
      </c>
      <c r="N39" s="20" t="n">
        <v>0</v>
      </c>
      <c r="O39" s="18" t="n">
        <v>0</v>
      </c>
      <c r="P39" s="20" t="n">
        <v>0</v>
      </c>
      <c r="Q39" s="18" t="n">
        <v>2.14845879</v>
      </c>
      <c r="R39" s="20" t="n">
        <v>0.92728502</v>
      </c>
    </row>
    <row r="40" spans="1:18">
      <c r="A40" s="15" t="s">
        <v>382</v>
      </c>
      <c r="B40" s="17" t="n">
        <v>6922</v>
      </c>
      <c r="C40" s="18">
        <f>(6088.0/B40*100)</f>
        <v/>
      </c>
      <c r="D40" s="19" t="n">
        <v>834</v>
      </c>
      <c r="E40" s="18" t="n">
        <v>26.69657151</v>
      </c>
      <c r="F40" s="20" t="n">
        <v>2.28724052</v>
      </c>
      <c r="G40" s="18" t="n">
        <v>70.93059144999999</v>
      </c>
      <c r="H40" s="20" t="n">
        <v>2.25643249</v>
      </c>
      <c r="I40" s="18" t="s">
        <v>349</v>
      </c>
      <c r="J40" s="20" t="s">
        <v>349</v>
      </c>
      <c r="K40" s="18" t="n">
        <v>1.4220944</v>
      </c>
      <c r="L40" s="20" t="n">
        <v>0.50861539</v>
      </c>
      <c r="M40" s="18" t="n">
        <v>0</v>
      </c>
      <c r="N40" s="20" t="n">
        <v>0</v>
      </c>
      <c r="O40" s="18" t="n">
        <v>0</v>
      </c>
      <c r="P40" s="20" t="n">
        <v>0</v>
      </c>
      <c r="Q40" s="18" t="n">
        <v>0.95074264</v>
      </c>
      <c r="R40" s="20" t="n">
        <v>0.24285979</v>
      </c>
    </row>
    <row r="41" spans="1:18">
      <c r="A41" s="15" t="s">
        <v>383</v>
      </c>
      <c r="B41" s="17" t="n">
        <v>2854</v>
      </c>
      <c r="C41" s="18">
        <f>(2503.0/B41*100)</f>
        <v/>
      </c>
      <c r="D41" s="19" t="n">
        <v>351</v>
      </c>
      <c r="E41" s="18" t="n">
        <v>19.79295983</v>
      </c>
      <c r="F41" s="20" t="n">
        <v>2.23489826</v>
      </c>
      <c r="G41" s="18" t="n">
        <v>79.36807414</v>
      </c>
      <c r="H41" s="20" t="n">
        <v>2.37783525</v>
      </c>
      <c r="I41" s="18" t="s">
        <v>349</v>
      </c>
      <c r="J41" s="20" t="s">
        <v>349</v>
      </c>
      <c r="K41" s="18" t="n">
        <v>0.32131456</v>
      </c>
      <c r="L41" s="20" t="n">
        <v>0.28660823</v>
      </c>
      <c r="M41" s="18" t="n">
        <v>0</v>
      </c>
      <c r="N41" s="20" t="n">
        <v>0</v>
      </c>
      <c r="O41" s="18" t="n">
        <v>0</v>
      </c>
      <c r="P41" s="20" t="n">
        <v>0</v>
      </c>
      <c r="Q41" s="18" t="n">
        <v>0.51765147</v>
      </c>
      <c r="R41" s="20" t="n">
        <v>0.38987479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(10888.0/B46*100)</f>
        <v/>
      </c>
      <c r="D46" s="19" t="n">
        <v>1185</v>
      </c>
      <c r="E46" s="18" t="n">
        <v>52.50239889</v>
      </c>
      <c r="F46" s="20" t="n">
        <v>1.98523569</v>
      </c>
      <c r="G46" s="18" t="n">
        <v>38.50156576</v>
      </c>
      <c r="H46" s="20" t="n">
        <v>1.98047946</v>
      </c>
      <c r="I46" s="18" t="s">
        <v>349</v>
      </c>
      <c r="J46" s="20" t="s">
        <v>349</v>
      </c>
      <c r="K46" s="18" t="n">
        <v>3.04686571</v>
      </c>
      <c r="L46" s="20" t="n">
        <v>0.72739509</v>
      </c>
      <c r="M46" s="18" t="n">
        <v>0</v>
      </c>
      <c r="N46" s="20" t="n">
        <v>0</v>
      </c>
      <c r="O46" s="18" t="n">
        <v>0</v>
      </c>
      <c r="P46" s="20" t="n">
        <v>0</v>
      </c>
      <c r="Q46" s="18" t="n">
        <v>5.94916965</v>
      </c>
      <c r="R46" s="20" t="n">
        <v>0.95104222</v>
      </c>
    </row>
    <row r="47" spans="1:18">
      <c r="A47" s="15" t="s">
        <v>389</v>
      </c>
      <c r="B47" s="17" t="n">
        <v>2823</v>
      </c>
      <c r="C47" s="18">
        <f>(2493.0/B47*100)</f>
        <v/>
      </c>
      <c r="D47" s="19" t="n">
        <v>330</v>
      </c>
      <c r="E47" s="18" t="n">
        <v>43.02814511</v>
      </c>
      <c r="F47" s="20" t="n">
        <v>2.68455014</v>
      </c>
      <c r="G47" s="18" t="n">
        <v>49.21761708</v>
      </c>
      <c r="H47" s="20" t="n">
        <v>2.90821143</v>
      </c>
      <c r="I47" s="18" t="s">
        <v>349</v>
      </c>
      <c r="J47" s="20" t="s">
        <v>349</v>
      </c>
      <c r="K47" s="18" t="n">
        <v>1.54221061</v>
      </c>
      <c r="L47" s="20" t="n">
        <v>0.70651661</v>
      </c>
      <c r="M47" s="18" t="n">
        <v>0</v>
      </c>
      <c r="N47" s="20" t="n">
        <v>0</v>
      </c>
      <c r="O47" s="18" t="n">
        <v>0</v>
      </c>
      <c r="P47" s="20" t="n">
        <v>0</v>
      </c>
      <c r="Q47" s="18" t="n">
        <v>6.2120272</v>
      </c>
      <c r="R47" s="20" t="n">
        <v>1.58815823</v>
      </c>
    </row>
    <row r="48" spans="1:18">
      <c r="A48" s="15" t="s">
        <v>390</v>
      </c>
      <c r="B48" s="17" t="n">
        <v>4682</v>
      </c>
      <c r="C48" s="18">
        <f>(4114.0/B48*100)</f>
        <v/>
      </c>
      <c r="D48" s="19" t="n">
        <v>568</v>
      </c>
      <c r="E48" s="18" t="n">
        <v>24.65002697</v>
      </c>
      <c r="F48" s="20" t="n">
        <v>2.66992073</v>
      </c>
      <c r="G48" s="18" t="n">
        <v>71.41710218</v>
      </c>
      <c r="H48" s="20" t="n">
        <v>3.05453353</v>
      </c>
      <c r="I48" s="18" t="s">
        <v>349</v>
      </c>
      <c r="J48" s="20" t="s">
        <v>349</v>
      </c>
      <c r="K48" s="18" t="n">
        <v>1.90148796</v>
      </c>
      <c r="L48" s="20" t="n">
        <v>1.15972678</v>
      </c>
      <c r="M48" s="18" t="n">
        <v>0.35410944</v>
      </c>
      <c r="N48" s="20" t="n">
        <v>0.34102725</v>
      </c>
      <c r="O48" s="18" t="n">
        <v>0</v>
      </c>
      <c r="P48" s="20" t="n">
        <v>0</v>
      </c>
      <c r="Q48" s="18" t="n">
        <v>1.67727345</v>
      </c>
      <c r="R48" s="20" t="n">
        <v>0.5440073</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(5436.0/B50*100)</f>
        <v/>
      </c>
      <c r="D50" s="19" t="n">
        <v>722</v>
      </c>
      <c r="E50" s="18" t="n">
        <v>57.1149679</v>
      </c>
      <c r="F50" s="20" t="n">
        <v>2.4059746</v>
      </c>
      <c r="G50" s="18" t="n">
        <v>37.73019387</v>
      </c>
      <c r="H50" s="20" t="n">
        <v>2.49385024</v>
      </c>
      <c r="I50" s="18" t="s">
        <v>349</v>
      </c>
      <c r="J50" s="20" t="s">
        <v>349</v>
      </c>
      <c r="K50" s="18" t="n">
        <v>2.62111941</v>
      </c>
      <c r="L50" s="20" t="n">
        <v>0.88925142</v>
      </c>
      <c r="M50" s="18" t="n">
        <v>1.21055377</v>
      </c>
      <c r="N50" s="20" t="n">
        <v>0.29462678</v>
      </c>
      <c r="O50" s="18" t="n">
        <v>0</v>
      </c>
      <c r="P50" s="20" t="n">
        <v>0</v>
      </c>
      <c r="Q50" s="18" t="n">
        <v>1.32316505</v>
      </c>
      <c r="R50" s="20" t="n">
        <v>0.44329208</v>
      </c>
    </row>
    <row r="51" spans="1:18">
      <c r="A51" s="15" t="s">
        <v>393</v>
      </c>
      <c r="B51" s="17" t="n">
        <v>3494</v>
      </c>
      <c r="C51" s="18">
        <f>(3143.0/B51*100)</f>
        <v/>
      </c>
      <c r="D51" s="19" t="n">
        <v>351</v>
      </c>
      <c r="E51" s="18" t="n">
        <v>56.45254076</v>
      </c>
      <c r="F51" s="20" t="n">
        <v>2.74602103</v>
      </c>
      <c r="G51" s="18" t="n">
        <v>39.00065104</v>
      </c>
      <c r="H51" s="20" t="n">
        <v>2.81383525</v>
      </c>
      <c r="I51" s="18" t="s">
        <v>349</v>
      </c>
      <c r="J51" s="20" t="s">
        <v>349</v>
      </c>
      <c r="K51" s="18" t="n">
        <v>2.52453581</v>
      </c>
      <c r="L51" s="20" t="n">
        <v>0.85944279</v>
      </c>
      <c r="M51" s="18" t="n">
        <v>0.53177993</v>
      </c>
      <c r="N51" s="20" t="n">
        <v>0.49282167</v>
      </c>
      <c r="O51" s="18" t="n">
        <v>0</v>
      </c>
      <c r="P51" s="20" t="n">
        <v>0</v>
      </c>
      <c r="Q51" s="18" t="n">
        <v>1.49049246</v>
      </c>
      <c r="R51" s="20" t="n">
        <v>0.7216037199999999</v>
      </c>
    </row>
    <row r="52" spans="1:18">
      <c r="A52" s="15" t="s">
        <v>394</v>
      </c>
      <c r="B52" s="17" t="n">
        <v>3013</v>
      </c>
      <c r="C52" s="18">
        <f>(2649.0/B52*100)</f>
        <v/>
      </c>
      <c r="D52" s="19" t="n">
        <v>364</v>
      </c>
      <c r="E52" s="18" t="n">
        <v>46.99113278</v>
      </c>
      <c r="F52" s="20" t="n">
        <v>2.65107722</v>
      </c>
      <c r="G52" s="18" t="n">
        <v>49.46686419</v>
      </c>
      <c r="H52" s="20" t="n">
        <v>2.70426057</v>
      </c>
      <c r="I52" s="18" t="s">
        <v>349</v>
      </c>
      <c r="J52" s="20" t="s">
        <v>349</v>
      </c>
      <c r="K52" s="18" t="n">
        <v>0.27452232</v>
      </c>
      <c r="L52" s="20" t="n">
        <v>0.26024501</v>
      </c>
      <c r="M52" s="18" t="n">
        <v>0</v>
      </c>
      <c r="N52" s="20" t="n">
        <v>0</v>
      </c>
      <c r="O52" s="18" t="n">
        <v>0</v>
      </c>
      <c r="P52" s="20" t="n">
        <v>0</v>
      </c>
      <c r="Q52" s="18" t="n">
        <v>3.26748071</v>
      </c>
      <c r="R52" s="20" t="n">
        <v>1.00914073</v>
      </c>
    </row>
    <row r="53" spans="1:18">
      <c r="A53" s="15" t="s">
        <v>395</v>
      </c>
      <c r="B53" s="17" t="n">
        <v>2760</v>
      </c>
      <c r="C53" s="18">
        <f>(2417.0/B53*100)</f>
        <v/>
      </c>
      <c r="D53" s="19" t="n">
        <v>343</v>
      </c>
      <c r="E53" s="18" t="n">
        <v>45.00451096</v>
      </c>
      <c r="F53" s="20" t="n">
        <v>2.99253499</v>
      </c>
      <c r="G53" s="18" t="n">
        <v>49.78076771</v>
      </c>
      <c r="H53" s="20" t="n">
        <v>2.88658579</v>
      </c>
      <c r="I53" s="18" t="s">
        <v>349</v>
      </c>
      <c r="J53" s="20" t="s">
        <v>349</v>
      </c>
      <c r="K53" s="18" t="n">
        <v>0.81991828</v>
      </c>
      <c r="L53" s="20" t="n">
        <v>0.46967477</v>
      </c>
      <c r="M53" s="18" t="n">
        <v>0</v>
      </c>
      <c r="N53" s="20" t="n">
        <v>0</v>
      </c>
      <c r="O53" s="18" t="n">
        <v>0</v>
      </c>
      <c r="P53" s="20" t="n">
        <v>0</v>
      </c>
      <c r="Q53" s="18" t="n">
        <v>4.39480304</v>
      </c>
      <c r="R53" s="20" t="n">
        <v>1.05571393</v>
      </c>
    </row>
    <row r="54" spans="1:18">
      <c r="A54" s="15" t="s">
        <v>396</v>
      </c>
      <c r="B54" s="17" t="n">
        <v>2474</v>
      </c>
      <c r="C54" s="18">
        <f>(2046.0/B54*100)</f>
        <v/>
      </c>
      <c r="D54" s="19" t="n">
        <v>428</v>
      </c>
      <c r="E54" s="18" t="n">
        <v>58.11454794</v>
      </c>
      <c r="F54" s="20" t="n">
        <v>3.15555693</v>
      </c>
      <c r="G54" s="18" t="n">
        <v>21.62110235</v>
      </c>
      <c r="H54" s="20" t="n">
        <v>2.52576791</v>
      </c>
      <c r="I54" s="18" t="s">
        <v>349</v>
      </c>
      <c r="J54" s="20" t="s">
        <v>349</v>
      </c>
      <c r="K54" s="18" t="n">
        <v>12.64153565</v>
      </c>
      <c r="L54" s="20" t="n">
        <v>1.75221254</v>
      </c>
      <c r="M54" s="18" t="n">
        <v>1.28218597</v>
      </c>
      <c r="N54" s="20" t="n">
        <v>1.39105238</v>
      </c>
      <c r="O54" s="18" t="n">
        <v>0</v>
      </c>
      <c r="P54" s="20" t="n">
        <v>0</v>
      </c>
      <c r="Q54" s="18" t="n">
        <v>6.34062809</v>
      </c>
      <c r="R54" s="20" t="n">
        <v>1.4006107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(2339.0/B56*100)</f>
        <v/>
      </c>
      <c r="D56" s="19" t="n">
        <v>336</v>
      </c>
      <c r="E56" s="18" t="n">
        <v>20.98588035</v>
      </c>
      <c r="F56" s="20" t="n">
        <v>2.13844129</v>
      </c>
      <c r="G56" s="18" t="n">
        <v>78.05168845999999</v>
      </c>
      <c r="H56" s="20" t="n">
        <v>2.092777</v>
      </c>
      <c r="I56" s="18" t="s">
        <v>349</v>
      </c>
      <c r="J56" s="20" t="s">
        <v>349</v>
      </c>
      <c r="K56" s="18" t="n">
        <v>0</v>
      </c>
      <c r="L56" s="20" t="n">
        <v>0</v>
      </c>
      <c r="M56" s="18" t="n">
        <v>0</v>
      </c>
      <c r="N56" s="20" t="n">
        <v>0</v>
      </c>
      <c r="O56" s="18" t="n">
        <v>0</v>
      </c>
      <c r="P56" s="20" t="n">
        <v>0</v>
      </c>
      <c r="Q56" s="18" t="n">
        <v>0.96243119</v>
      </c>
      <c r="R56" s="20" t="n">
        <v>0.60226867</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(2801.0/B61*100)</f>
        <v/>
      </c>
      <c r="D61" s="19" t="n">
        <v>400</v>
      </c>
      <c r="E61" s="18" t="n">
        <v>37.25400072</v>
      </c>
      <c r="F61" s="20" t="n">
        <v>2.61267497</v>
      </c>
      <c r="G61" s="18" t="n">
        <v>61.10415967</v>
      </c>
      <c r="H61" s="20" t="n">
        <v>2.68273623</v>
      </c>
      <c r="I61" s="18" t="s">
        <v>349</v>
      </c>
      <c r="J61" s="20" t="s">
        <v>349</v>
      </c>
      <c r="K61" s="18" t="n">
        <v>0.72211476</v>
      </c>
      <c r="L61" s="20" t="n">
        <v>0.70726</v>
      </c>
      <c r="M61" s="18" t="n">
        <v>0</v>
      </c>
      <c r="N61" s="20" t="n">
        <v>0</v>
      </c>
      <c r="O61" s="18" t="n">
        <v>0</v>
      </c>
      <c r="P61" s="20" t="n">
        <v>0</v>
      </c>
      <c r="Q61" s="18" t="n">
        <v>0.91972485</v>
      </c>
      <c r="R61" s="20" t="n">
        <v>0.50899119</v>
      </c>
    </row>
    <row r="62" spans="1:18">
      <c r="A62" s="15" t="s">
        <v>404</v>
      </c>
      <c r="B62" s="17" t="n">
        <v>2230</v>
      </c>
      <c r="C62" s="18">
        <f>(1985.0/B62*100)</f>
        <v/>
      </c>
      <c r="D62" s="19" t="n">
        <v>245</v>
      </c>
      <c r="E62" s="18" t="n">
        <v>20.11505942</v>
      </c>
      <c r="F62" s="20" t="n">
        <v>2.15928583</v>
      </c>
      <c r="G62" s="18" t="n">
        <v>79.47992726</v>
      </c>
      <c r="H62" s="20" t="n">
        <v>2.17224591</v>
      </c>
      <c r="I62" s="18" t="s">
        <v>349</v>
      </c>
      <c r="J62" s="20" t="s">
        <v>349</v>
      </c>
      <c r="K62" s="18" t="n">
        <v>0.40501332</v>
      </c>
      <c r="L62" s="20" t="n">
        <v>0.40669821</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(2446.0/B66*100)</f>
        <v/>
      </c>
      <c r="D66" s="19" t="n">
        <v>325</v>
      </c>
      <c r="E66" s="18" t="n">
        <v>46.92813675</v>
      </c>
      <c r="F66" s="20" t="n">
        <v>2.70289237</v>
      </c>
      <c r="G66" s="18" t="n">
        <v>34.89978987</v>
      </c>
      <c r="H66" s="20" t="n">
        <v>3.09057993</v>
      </c>
      <c r="I66" s="18" t="s">
        <v>349</v>
      </c>
      <c r="J66" s="20" t="s">
        <v>349</v>
      </c>
      <c r="K66" s="18" t="n">
        <v>4.38726433</v>
      </c>
      <c r="L66" s="20" t="n">
        <v>1.04913752</v>
      </c>
      <c r="M66" s="18" t="n">
        <v>0.53907424</v>
      </c>
      <c r="N66" s="20" t="n">
        <v>0.38372499</v>
      </c>
      <c r="O66" s="18" t="n">
        <v>0</v>
      </c>
      <c r="P66" s="20" t="n">
        <v>0</v>
      </c>
      <c r="Q66" s="18" t="n">
        <v>13.24573481</v>
      </c>
      <c r="R66" s="20" t="n">
        <v>1.71815025</v>
      </c>
    </row>
    <row r="67" spans="1:18">
      <c r="A67" s="15" t="s">
        <v>409</v>
      </c>
      <c r="B67" s="17" t="n">
        <v>3460</v>
      </c>
      <c r="C67" s="18">
        <f>(3104.0/B67*100)</f>
        <v/>
      </c>
      <c r="D67" s="19" t="n">
        <v>356</v>
      </c>
      <c r="E67" s="18" t="n">
        <v>56.25901131</v>
      </c>
      <c r="F67" s="20" t="n">
        <v>2.92869368</v>
      </c>
      <c r="G67" s="18" t="n">
        <v>38.89485057</v>
      </c>
      <c r="H67" s="20" t="n">
        <v>3.03515131</v>
      </c>
      <c r="I67" s="18" t="s">
        <v>349</v>
      </c>
      <c r="J67" s="20" t="s">
        <v>349</v>
      </c>
      <c r="K67" s="18" t="n">
        <v>0.4178259</v>
      </c>
      <c r="L67" s="20" t="n">
        <v>0.29408933</v>
      </c>
      <c r="M67" s="18" t="n">
        <v>0.21176156</v>
      </c>
      <c r="N67" s="20" t="n">
        <v>0.21103423</v>
      </c>
      <c r="O67" s="18" t="n">
        <v>0</v>
      </c>
      <c r="P67" s="20" t="n">
        <v>0</v>
      </c>
      <c r="Q67" s="18" t="n">
        <v>4.21655067</v>
      </c>
      <c r="R67" s="20" t="n">
        <v>1.13364336</v>
      </c>
    </row>
    <row r="68" spans="1:18">
      <c r="A68" s="15" t="s">
        <v>410</v>
      </c>
      <c r="B68" s="17" t="n">
        <v>6034</v>
      </c>
      <c r="C68" s="18">
        <f>(5039.0/B68*100)</f>
        <v/>
      </c>
      <c r="D68" s="19" t="n">
        <v>995</v>
      </c>
      <c r="E68" s="18" t="n">
        <v>36.64471687</v>
      </c>
      <c r="F68" s="20" t="n">
        <v>1.40289784</v>
      </c>
      <c r="G68" s="18" t="n">
        <v>56.34036338</v>
      </c>
      <c r="H68" s="20" t="n">
        <v>1.46358991</v>
      </c>
      <c r="I68" s="18" t="s">
        <v>349</v>
      </c>
      <c r="J68" s="20" t="s">
        <v>349</v>
      </c>
      <c r="K68" s="18" t="n">
        <v>4.75615074</v>
      </c>
      <c r="L68" s="20" t="n">
        <v>0.6436796299999999</v>
      </c>
      <c r="M68" s="18" t="n">
        <v>0</v>
      </c>
      <c r="N68" s="20" t="n">
        <v>0</v>
      </c>
      <c r="O68" s="18" t="n">
        <v>0</v>
      </c>
      <c r="P68" s="20" t="n">
        <v>0</v>
      </c>
      <c r="Q68" s="18" t="n">
        <v>2.25876901</v>
      </c>
      <c r="R68" s="20" t="n">
        <v>0.45877539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(2761.0/B70*100)</f>
        <v/>
      </c>
      <c r="D70" s="19" t="n">
        <v>346</v>
      </c>
      <c r="E70" s="18" t="n">
        <v>29.93500259</v>
      </c>
      <c r="F70" s="20" t="n">
        <v>2.35218782</v>
      </c>
      <c r="G70" s="18" t="n">
        <v>66.66254547</v>
      </c>
      <c r="H70" s="20" t="n">
        <v>2.41522973</v>
      </c>
      <c r="I70" s="18" t="s">
        <v>349</v>
      </c>
      <c r="J70" s="20" t="s">
        <v>349</v>
      </c>
      <c r="K70" s="18" t="n">
        <v>2.19408278</v>
      </c>
      <c r="L70" s="20" t="n">
        <v>0.58226157</v>
      </c>
      <c r="M70" s="18" t="n">
        <v>0.349992</v>
      </c>
      <c r="N70" s="20" t="n">
        <v>0.24531644</v>
      </c>
      <c r="O70" s="18" t="n">
        <v>0</v>
      </c>
      <c r="P70" s="20" t="n">
        <v>0</v>
      </c>
      <c r="Q70" s="18" t="n">
        <v>0.85837716</v>
      </c>
      <c r="R70" s="20" t="n">
        <v>0.48638822</v>
      </c>
    </row>
    <row r="71" spans="1:18">
      <c r="A71" s="15" t="s">
        <v>413</v>
      </c>
      <c r="B71" s="17" t="n">
        <v>2973</v>
      </c>
      <c r="C71" s="18">
        <f>(2595.0/B71*100)</f>
        <v/>
      </c>
      <c r="D71" s="19" t="n">
        <v>378</v>
      </c>
      <c r="E71" s="18" t="n">
        <v>13.95266431</v>
      </c>
      <c r="F71" s="20" t="n">
        <v>1.63265593</v>
      </c>
      <c r="G71" s="18" t="n">
        <v>85.74430400999999</v>
      </c>
      <c r="H71" s="20" t="n">
        <v>1.66978477</v>
      </c>
      <c r="I71" s="18" t="s">
        <v>349</v>
      </c>
      <c r="J71" s="20" t="s">
        <v>349</v>
      </c>
      <c r="K71" s="18" t="n">
        <v>0.30303168</v>
      </c>
      <c r="L71" s="20" t="n">
        <v>0.30139377</v>
      </c>
      <c r="M71" s="18" t="n">
        <v>0</v>
      </c>
      <c r="N71" s="20" t="n">
        <v>0</v>
      </c>
      <c r="O71" s="18" t="n">
        <v>0</v>
      </c>
      <c r="P71" s="20" t="n">
        <v>0</v>
      </c>
      <c r="Q71" s="18" t="n">
        <v>0</v>
      </c>
      <c r="R71" s="20" t="n">
        <v>0</v>
      </c>
    </row>
    <row r="72" spans="1:18">
      <c r="A72" s="15" t="s">
        <v>414</v>
      </c>
      <c r="B72" s="17" t="n">
        <v>3819</v>
      </c>
      <c r="C72" s="18">
        <f>(3330.0/B72*100)</f>
        <v/>
      </c>
      <c r="D72" s="19" t="n">
        <v>489</v>
      </c>
      <c r="E72" s="18" t="n">
        <v>19.82746635</v>
      </c>
      <c r="F72" s="20" t="n">
        <v>1.75591742</v>
      </c>
      <c r="G72" s="18" t="n">
        <v>78.56724007</v>
      </c>
      <c r="H72" s="20" t="n">
        <v>1.84342627</v>
      </c>
      <c r="I72" s="18" t="s">
        <v>349</v>
      </c>
      <c r="J72" s="20" t="s">
        <v>349</v>
      </c>
      <c r="K72" s="18" t="n">
        <v>0.22212725</v>
      </c>
      <c r="L72" s="20" t="n">
        <v>0.22182173</v>
      </c>
      <c r="M72" s="18" t="n">
        <v>0</v>
      </c>
      <c r="N72" s="20" t="n">
        <v>0</v>
      </c>
      <c r="O72" s="18" t="n">
        <v>0</v>
      </c>
      <c r="P72" s="20" t="n">
        <v>0</v>
      </c>
      <c r="Q72" s="18" t="n">
        <v>1.38316632</v>
      </c>
      <c r="R72" s="20" t="n">
        <v>0.5529533</v>
      </c>
    </row>
    <row r="73" spans="1:18">
      <c r="A73" s="15" t="s">
        <v>415</v>
      </c>
      <c r="B73" s="17" t="n">
        <v>4652</v>
      </c>
      <c r="C73" s="18">
        <f>(4121.0/B73*100)</f>
        <v/>
      </c>
      <c r="D73" s="19" t="n">
        <v>531</v>
      </c>
      <c r="E73" s="18" t="n">
        <v>36.95613853</v>
      </c>
      <c r="F73" s="20" t="n">
        <v>2.78459728</v>
      </c>
      <c r="G73" s="18" t="n">
        <v>63.01125734</v>
      </c>
      <c r="H73" s="20" t="n">
        <v>2.7847366</v>
      </c>
      <c r="I73" s="18" t="s">
        <v>349</v>
      </c>
      <c r="J73" s="20" t="s">
        <v>349</v>
      </c>
      <c r="K73" s="18" t="n">
        <v>0.008442430000000001</v>
      </c>
      <c r="L73" s="20" t="n">
        <v>0.00840568</v>
      </c>
      <c r="M73" s="18" t="n">
        <v>0</v>
      </c>
      <c r="N73" s="20" t="n">
        <v>0</v>
      </c>
      <c r="O73" s="18" t="n">
        <v>0</v>
      </c>
      <c r="P73" s="20" t="n">
        <v>0</v>
      </c>
      <c r="Q73" s="18" t="n">
        <v>0.02416171</v>
      </c>
      <c r="R73" s="20" t="n">
        <v>0.01691659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(2632.0/B75*100)</f>
        <v/>
      </c>
      <c r="D75" s="19" t="n">
        <v>337</v>
      </c>
      <c r="E75" s="18" t="n">
        <v>55.08138073</v>
      </c>
      <c r="F75" s="20" t="n">
        <v>2.62483439</v>
      </c>
      <c r="G75" s="18" t="n">
        <v>28.57706427</v>
      </c>
      <c r="H75" s="20" t="n">
        <v>2.20844816</v>
      </c>
      <c r="I75" s="18" t="s">
        <v>349</v>
      </c>
      <c r="J75" s="20" t="s">
        <v>349</v>
      </c>
      <c r="K75" s="18" t="n">
        <v>8.413472390000001</v>
      </c>
      <c r="L75" s="20" t="n">
        <v>1.52251265</v>
      </c>
      <c r="M75" s="18" t="n">
        <v>0</v>
      </c>
      <c r="N75" s="20" t="n">
        <v>0</v>
      </c>
      <c r="O75" s="18" t="n">
        <v>0</v>
      </c>
      <c r="P75" s="20" t="n">
        <v>0</v>
      </c>
      <c r="Q75" s="18" t="n">
        <v>7.92808261</v>
      </c>
      <c r="R75" s="20" t="n">
        <v>1.520168</v>
      </c>
    </row>
    <row r="76" spans="1:18">
      <c r="A76" s="15" t="s">
        <v>418</v>
      </c>
      <c r="B76" s="17" t="n">
        <v>7115</v>
      </c>
      <c r="C76" s="18">
        <f>(6234.0/B76*100)</f>
        <v/>
      </c>
      <c r="D76" s="19" t="n">
        <v>881</v>
      </c>
      <c r="E76" s="18" t="n">
        <v>36.09938115</v>
      </c>
      <c r="F76" s="20" t="n">
        <v>2.11444026</v>
      </c>
      <c r="G76" s="18" t="n">
        <v>60.81824617</v>
      </c>
      <c r="H76" s="20" t="n">
        <v>2.20347181</v>
      </c>
      <c r="I76" s="18" t="s">
        <v>349</v>
      </c>
      <c r="J76" s="20" t="s">
        <v>349</v>
      </c>
      <c r="K76" s="18" t="n">
        <v>1.65365131</v>
      </c>
      <c r="L76" s="20" t="n">
        <v>0.55733952</v>
      </c>
      <c r="M76" s="18" t="n">
        <v>0</v>
      </c>
      <c r="N76" s="20" t="n">
        <v>0</v>
      </c>
      <c r="O76" s="18" t="n">
        <v>0</v>
      </c>
      <c r="P76" s="20" t="n">
        <v>0</v>
      </c>
      <c r="Q76" s="18" t="n">
        <v>1.42872137</v>
      </c>
      <c r="R76" s="20" t="n">
        <v>0.46046849</v>
      </c>
    </row>
    <row r="77" spans="1:18">
      <c r="A77" s="15" t="s">
        <v>419</v>
      </c>
      <c r="B77" s="17" t="n">
        <v>3154</v>
      </c>
      <c r="C77" s="18">
        <f>(2780.0/B77*100)</f>
        <v/>
      </c>
      <c r="D77" s="19" t="n">
        <v>374</v>
      </c>
      <c r="E77" s="18" t="n">
        <v>44.44097329</v>
      </c>
      <c r="F77" s="20" t="n">
        <v>2.54120675</v>
      </c>
      <c r="G77" s="18" t="n">
        <v>44.19901222</v>
      </c>
      <c r="H77" s="20" t="n">
        <v>2.45168128</v>
      </c>
      <c r="I77" s="18" t="s">
        <v>349</v>
      </c>
      <c r="J77" s="20" t="s">
        <v>349</v>
      </c>
      <c r="K77" s="18" t="n">
        <v>5.3913731</v>
      </c>
      <c r="L77" s="20" t="n">
        <v>1.17229766</v>
      </c>
      <c r="M77" s="18" t="n">
        <v>1.84209377</v>
      </c>
      <c r="N77" s="20" t="n">
        <v>0.63490976</v>
      </c>
      <c r="O77" s="18" t="n">
        <v>0</v>
      </c>
      <c r="P77" s="20" t="n">
        <v>0</v>
      </c>
      <c r="Q77" s="18" t="n">
        <v>4.12654762</v>
      </c>
      <c r="R77" s="20" t="n">
        <v>1.21863668</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(4107.0/B81*100)</f>
        <v/>
      </c>
      <c r="D81" s="19" t="n">
        <v>591</v>
      </c>
      <c r="E81" s="18" t="n">
        <v>34.97545448</v>
      </c>
      <c r="F81" s="20" t="n">
        <v>2.44177031</v>
      </c>
      <c r="G81" s="18" t="n">
        <v>64.40134327</v>
      </c>
      <c r="H81" s="20" t="n">
        <v>2.50944618</v>
      </c>
      <c r="I81" s="18" t="s">
        <v>349</v>
      </c>
      <c r="J81" s="20" t="s">
        <v>349</v>
      </c>
      <c r="K81" s="18" t="n">
        <v>0.36328958</v>
      </c>
      <c r="L81" s="20" t="n">
        <v>0.28833929</v>
      </c>
      <c r="M81" s="18" t="n">
        <v>0</v>
      </c>
      <c r="N81" s="20" t="n">
        <v>0</v>
      </c>
      <c r="O81" s="18" t="n">
        <v>0</v>
      </c>
      <c r="P81" s="20" t="n">
        <v>0</v>
      </c>
      <c r="Q81" s="18" t="n">
        <v>0.25991268</v>
      </c>
      <c r="R81" s="20" t="n">
        <v>0.25681179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(6295.0/B7*100)</f>
        <v/>
      </c>
      <c r="D7" s="19" t="n">
        <v>868</v>
      </c>
      <c r="E7" s="18" t="n">
        <v>66.27781992</v>
      </c>
      <c r="F7" s="20" t="n">
        <v>1.99355257</v>
      </c>
      <c r="G7" s="18" t="n">
        <v>32.50349205</v>
      </c>
      <c r="H7" s="20" t="n">
        <v>2.0106189</v>
      </c>
      <c r="I7" s="18" t="s">
        <v>349</v>
      </c>
      <c r="J7" s="20" t="s">
        <v>349</v>
      </c>
      <c r="K7" s="18" t="n">
        <v>1.21868803</v>
      </c>
      <c r="L7" s="20" t="n">
        <v>0.35035258</v>
      </c>
      <c r="M7" s="18" t="n">
        <v>0</v>
      </c>
      <c r="N7" s="20" t="n">
        <v>0</v>
      </c>
      <c r="O7" s="18" t="n">
        <v>0</v>
      </c>
      <c r="P7" s="20" t="n">
        <v>0</v>
      </c>
      <c r="Q7" s="18" t="n">
        <v>0</v>
      </c>
      <c r="R7" s="20" t="n">
        <v>0</v>
      </c>
    </row>
    <row r="8" spans="1:18">
      <c r="A8" s="15" t="s">
        <v>350</v>
      </c>
      <c r="B8" s="17" t="n">
        <v>3443</v>
      </c>
      <c r="C8" s="18">
        <f>(3014.0/B8*100)</f>
        <v/>
      </c>
      <c r="D8" s="19" t="n">
        <v>429</v>
      </c>
      <c r="E8" s="18" t="n">
        <v>62.16799265</v>
      </c>
      <c r="F8" s="20" t="n">
        <v>2.27969174</v>
      </c>
      <c r="G8" s="18" t="n">
        <v>34.61907493</v>
      </c>
      <c r="H8" s="20" t="n">
        <v>2.22879434</v>
      </c>
      <c r="I8" s="18" t="s">
        <v>349</v>
      </c>
      <c r="J8" s="20" t="s">
        <v>349</v>
      </c>
      <c r="K8" s="18" t="n">
        <v>3.21293242</v>
      </c>
      <c r="L8" s="20" t="n">
        <v>0.9290569400000001</v>
      </c>
      <c r="M8" s="18" t="n">
        <v>0</v>
      </c>
      <c r="N8" s="20" t="n">
        <v>0</v>
      </c>
      <c r="O8" s="18" t="n">
        <v>0</v>
      </c>
      <c r="P8" s="20" t="n">
        <v>0</v>
      </c>
      <c r="Q8" s="18" t="n">
        <v>0</v>
      </c>
      <c r="R8" s="20" t="n">
        <v>0</v>
      </c>
    </row>
    <row r="9" spans="1:18">
      <c r="A9" s="15" t="s">
        <v>351</v>
      </c>
      <c r="B9" s="17" t="n">
        <v>4752</v>
      </c>
      <c r="C9" s="18">
        <f>(4178.0/B9*100)</f>
        <v/>
      </c>
      <c r="D9" s="19" t="n">
        <v>574</v>
      </c>
      <c r="E9" s="18" t="n">
        <v>56.96469005</v>
      </c>
      <c r="F9" s="20" t="n">
        <v>2.1909354</v>
      </c>
      <c r="G9" s="18" t="n">
        <v>39.20233744</v>
      </c>
      <c r="H9" s="20" t="n">
        <v>2.29801787</v>
      </c>
      <c r="I9" s="18" t="s">
        <v>349</v>
      </c>
      <c r="J9" s="20" t="s">
        <v>349</v>
      </c>
      <c r="K9" s="18" t="n">
        <v>3.83297251</v>
      </c>
      <c r="L9" s="20" t="n">
        <v>0.94118761</v>
      </c>
      <c r="M9" s="18" t="n">
        <v>0</v>
      </c>
      <c r="N9" s="20" t="n">
        <v>0</v>
      </c>
      <c r="O9" s="18" t="n">
        <v>0</v>
      </c>
      <c r="P9" s="20" t="n">
        <v>0</v>
      </c>
      <c r="Q9" s="18" t="n">
        <v>0</v>
      </c>
      <c r="R9" s="20" t="n">
        <v>0</v>
      </c>
    </row>
    <row r="10" spans="1:18">
      <c r="A10" s="15" t="s">
        <v>352</v>
      </c>
      <c r="B10" s="17" t="n">
        <v>10022</v>
      </c>
      <c r="C10" s="18">
        <f>(8763.0/B10*100)</f>
        <v/>
      </c>
      <c r="D10" s="19" t="n">
        <v>1259</v>
      </c>
      <c r="E10" s="18" t="n">
        <v>70.06412401</v>
      </c>
      <c r="F10" s="20" t="n">
        <v>1.78249792</v>
      </c>
      <c r="G10" s="18" t="n">
        <v>29.57833682</v>
      </c>
      <c r="H10" s="20" t="n">
        <v>1.76705052</v>
      </c>
      <c r="I10" s="18" t="s">
        <v>349</v>
      </c>
      <c r="J10" s="20" t="s">
        <v>349</v>
      </c>
      <c r="K10" s="18" t="n">
        <v>0.35753917</v>
      </c>
      <c r="L10" s="20" t="n">
        <v>0.12471993</v>
      </c>
      <c r="M10" s="18" t="n">
        <v>0</v>
      </c>
      <c r="N10" s="20" t="n">
        <v>0</v>
      </c>
      <c r="O10" s="18" t="n">
        <v>0</v>
      </c>
      <c r="P10" s="20" t="n">
        <v>0</v>
      </c>
      <c r="Q10" s="18" t="n">
        <v>0</v>
      </c>
      <c r="R10" s="20" t="n">
        <v>0</v>
      </c>
    </row>
    <row r="11" spans="1:18">
      <c r="A11" s="15" t="s">
        <v>353</v>
      </c>
      <c r="B11" s="17" t="n">
        <v>3500</v>
      </c>
      <c r="C11" s="18">
        <f>(3090.0/B11*100)</f>
        <v/>
      </c>
      <c r="D11" s="19" t="n">
        <v>410</v>
      </c>
      <c r="E11" s="18" t="n">
        <v>71.35450523</v>
      </c>
      <c r="F11" s="20" t="n">
        <v>2.7698211</v>
      </c>
      <c r="G11" s="18" t="n">
        <v>24.64177439</v>
      </c>
      <c r="H11" s="20" t="n">
        <v>2.74274043</v>
      </c>
      <c r="I11" s="18" t="s">
        <v>349</v>
      </c>
      <c r="J11" s="20" t="s">
        <v>349</v>
      </c>
      <c r="K11" s="18" t="n">
        <v>4.00372038</v>
      </c>
      <c r="L11" s="20" t="n">
        <v>0.85136375</v>
      </c>
      <c r="M11" s="18" t="n">
        <v>0</v>
      </c>
      <c r="N11" s="20" t="n">
        <v>0</v>
      </c>
      <c r="O11" s="18" t="n">
        <v>0</v>
      </c>
      <c r="P11" s="20" t="n">
        <v>0</v>
      </c>
      <c r="Q11" s="18" t="n">
        <v>0</v>
      </c>
      <c r="R11" s="20" t="n">
        <v>0</v>
      </c>
    </row>
    <row r="12" spans="1:18">
      <c r="A12" s="15" t="s">
        <v>354</v>
      </c>
      <c r="B12" s="17" t="n">
        <v>3422</v>
      </c>
      <c r="C12" s="18">
        <f>(3041.0/B12*100)</f>
        <v/>
      </c>
      <c r="D12" s="19" t="n">
        <v>381</v>
      </c>
      <c r="E12" s="18" t="n">
        <v>60.15256312</v>
      </c>
      <c r="F12" s="20" t="n">
        <v>3.04197334</v>
      </c>
      <c r="G12" s="18" t="n">
        <v>38.4763567</v>
      </c>
      <c r="H12" s="20" t="n">
        <v>3.0055935</v>
      </c>
      <c r="I12" s="18" t="s">
        <v>349</v>
      </c>
      <c r="J12" s="20" t="s">
        <v>349</v>
      </c>
      <c r="K12" s="18" t="n">
        <v>1.37108017</v>
      </c>
      <c r="L12" s="20" t="n">
        <v>0.65117779</v>
      </c>
      <c r="M12" s="18" t="n">
        <v>0</v>
      </c>
      <c r="N12" s="20" t="n">
        <v>0</v>
      </c>
      <c r="O12" s="18" t="n">
        <v>0</v>
      </c>
      <c r="P12" s="20" t="n">
        <v>0</v>
      </c>
      <c r="Q12" s="18" t="n">
        <v>0</v>
      </c>
      <c r="R12" s="20" t="n">
        <v>0</v>
      </c>
    </row>
    <row r="13" spans="1:18">
      <c r="A13" s="15" t="s">
        <v>355</v>
      </c>
      <c r="B13" s="17" t="n">
        <v>3602</v>
      </c>
      <c r="C13" s="18">
        <f>(3175.0/B13*100)</f>
        <v/>
      </c>
      <c r="D13" s="19" t="n">
        <v>427</v>
      </c>
      <c r="E13" s="18" t="n">
        <v>57.3476775</v>
      </c>
      <c r="F13" s="20" t="n">
        <v>2.6610844</v>
      </c>
      <c r="G13" s="18" t="n">
        <v>39.8587768</v>
      </c>
      <c r="H13" s="20" t="n">
        <v>2.61221546</v>
      </c>
      <c r="I13" s="18" t="s">
        <v>349</v>
      </c>
      <c r="J13" s="20" t="s">
        <v>349</v>
      </c>
      <c r="K13" s="18" t="n">
        <v>2.7935457</v>
      </c>
      <c r="L13" s="20" t="n">
        <v>0.92899679</v>
      </c>
      <c r="M13" s="18" t="n">
        <v>0</v>
      </c>
      <c r="N13" s="20" t="n">
        <v>0</v>
      </c>
      <c r="O13" s="18" t="n">
        <v>0</v>
      </c>
      <c r="P13" s="20" t="n">
        <v>0</v>
      </c>
      <c r="Q13" s="18" t="n">
        <v>0</v>
      </c>
      <c r="R13" s="20" t="n">
        <v>0</v>
      </c>
    </row>
    <row r="14" spans="1:18">
      <c r="A14" s="15" t="s">
        <v>356</v>
      </c>
      <c r="B14" s="17" t="n">
        <v>2788</v>
      </c>
      <c r="C14" s="18">
        <f>(2462.0/B14*100)</f>
        <v/>
      </c>
      <c r="D14" s="19" t="n">
        <v>326</v>
      </c>
      <c r="E14" s="18" t="n">
        <v>62.72841862</v>
      </c>
      <c r="F14" s="20" t="n">
        <v>3.06489188</v>
      </c>
      <c r="G14" s="18" t="n">
        <v>36.7491989</v>
      </c>
      <c r="H14" s="20" t="n">
        <v>3.05191514</v>
      </c>
      <c r="I14" s="18" t="s">
        <v>349</v>
      </c>
      <c r="J14" s="20" t="s">
        <v>349</v>
      </c>
      <c r="K14" s="18" t="n">
        <v>0.52238248</v>
      </c>
      <c r="L14" s="20" t="n">
        <v>0.38022059</v>
      </c>
      <c r="M14" s="18" t="n">
        <v>0</v>
      </c>
      <c r="N14" s="20" t="n">
        <v>0</v>
      </c>
      <c r="O14" s="18" t="n">
        <v>0</v>
      </c>
      <c r="P14" s="20" t="n">
        <v>0</v>
      </c>
      <c r="Q14" s="18" t="n">
        <v>0</v>
      </c>
      <c r="R14" s="20" t="n">
        <v>0</v>
      </c>
    </row>
    <row r="15" spans="1:18">
      <c r="A15" s="15" t="s">
        <v>357</v>
      </c>
      <c r="B15" s="17" t="n">
        <v>2863</v>
      </c>
      <c r="C15" s="18">
        <f>(2520.0/B15*100)</f>
        <v/>
      </c>
      <c r="D15" s="19" t="n">
        <v>343</v>
      </c>
      <c r="E15" s="18" t="n">
        <v>59.48721317</v>
      </c>
      <c r="F15" s="20" t="n">
        <v>2.72099982</v>
      </c>
      <c r="G15" s="18" t="n">
        <v>38.66824492</v>
      </c>
      <c r="H15" s="20" t="n">
        <v>2.64817054</v>
      </c>
      <c r="I15" s="18" t="s">
        <v>349</v>
      </c>
      <c r="J15" s="20" t="s">
        <v>349</v>
      </c>
      <c r="K15" s="18" t="n">
        <v>1.8445419</v>
      </c>
      <c r="L15" s="20" t="n">
        <v>0.86444235</v>
      </c>
      <c r="M15" s="18" t="n">
        <v>0</v>
      </c>
      <c r="N15" s="20" t="n">
        <v>0</v>
      </c>
      <c r="O15" s="18" t="n">
        <v>0</v>
      </c>
      <c r="P15" s="20" t="n">
        <v>0</v>
      </c>
      <c r="Q15" s="18" t="n">
        <v>0</v>
      </c>
      <c r="R15" s="20" t="n">
        <v>0</v>
      </c>
    </row>
    <row r="16" spans="1:18">
      <c r="A16" s="15" t="s">
        <v>358</v>
      </c>
      <c r="B16" s="17" t="n">
        <v>3111</v>
      </c>
      <c r="C16" s="18">
        <f>(2744.0/B16*100)</f>
        <v/>
      </c>
      <c r="D16" s="19" t="n">
        <v>367</v>
      </c>
      <c r="E16" s="18" t="n">
        <v>50.21591509</v>
      </c>
      <c r="F16" s="20" t="n">
        <v>2.4672906</v>
      </c>
      <c r="G16" s="18" t="n">
        <v>46.23868284</v>
      </c>
      <c r="H16" s="20" t="n">
        <v>2.55972016</v>
      </c>
      <c r="I16" s="18" t="s">
        <v>349</v>
      </c>
      <c r="J16" s="20" t="s">
        <v>349</v>
      </c>
      <c r="K16" s="18" t="n">
        <v>3.54540207</v>
      </c>
      <c r="L16" s="20" t="n">
        <v>1.00841782</v>
      </c>
      <c r="M16" s="18" t="n">
        <v>0</v>
      </c>
      <c r="N16" s="20" t="n">
        <v>0</v>
      </c>
      <c r="O16" s="18" t="n">
        <v>0</v>
      </c>
      <c r="P16" s="20" t="n">
        <v>0</v>
      </c>
      <c r="Q16" s="18" t="n">
        <v>0</v>
      </c>
      <c r="R16" s="20" t="n">
        <v>0</v>
      </c>
    </row>
    <row r="17" spans="1:18">
      <c r="A17" s="15" t="s">
        <v>359</v>
      </c>
      <c r="B17" s="17" t="n">
        <v>3197</v>
      </c>
      <c r="C17" s="18">
        <f>(2819.0/B17*100)</f>
        <v/>
      </c>
      <c r="D17" s="19" t="n">
        <v>378</v>
      </c>
      <c r="E17" s="18" t="n">
        <v>56.11498215</v>
      </c>
      <c r="F17" s="20" t="n">
        <v>2.46106238</v>
      </c>
      <c r="G17" s="18" t="n">
        <v>42.34355303</v>
      </c>
      <c r="H17" s="20" t="n">
        <v>2.39587179</v>
      </c>
      <c r="I17" s="18" t="s">
        <v>349</v>
      </c>
      <c r="J17" s="20" t="s">
        <v>349</v>
      </c>
      <c r="K17" s="18" t="n">
        <v>1.54146482</v>
      </c>
      <c r="L17" s="20" t="n">
        <v>0.72487866</v>
      </c>
      <c r="M17" s="18" t="n">
        <v>0</v>
      </c>
      <c r="N17" s="20" t="n">
        <v>0</v>
      </c>
      <c r="O17" s="18" t="n">
        <v>0</v>
      </c>
      <c r="P17" s="20" t="n">
        <v>0</v>
      </c>
      <c r="Q17" s="18" t="n">
        <v>0</v>
      </c>
      <c r="R17" s="20" t="n">
        <v>0</v>
      </c>
    </row>
    <row r="18" spans="1:18">
      <c r="A18" s="15" t="s">
        <v>360</v>
      </c>
      <c r="B18" s="17" t="n">
        <v>2706</v>
      </c>
      <c r="C18" s="18">
        <f>(2385.0/B18*100)</f>
        <v/>
      </c>
      <c r="D18" s="19" t="n">
        <v>321</v>
      </c>
      <c r="E18" s="18" t="n">
        <v>59.80196137</v>
      </c>
      <c r="F18" s="20" t="n">
        <v>3.09314187</v>
      </c>
      <c r="G18" s="18" t="n">
        <v>38.7352407</v>
      </c>
      <c r="H18" s="20" t="n">
        <v>3.1554114</v>
      </c>
      <c r="I18" s="18" t="s">
        <v>349</v>
      </c>
      <c r="J18" s="20" t="s">
        <v>349</v>
      </c>
      <c r="K18" s="18" t="n">
        <v>1.46279793</v>
      </c>
      <c r="L18" s="20" t="n">
        <v>0.59630668</v>
      </c>
      <c r="M18" s="18" t="n">
        <v>0</v>
      </c>
      <c r="N18" s="20" t="n">
        <v>0</v>
      </c>
      <c r="O18" s="18" t="n">
        <v>0</v>
      </c>
      <c r="P18" s="20" t="n">
        <v>0</v>
      </c>
      <c r="Q18" s="18" t="n">
        <v>0</v>
      </c>
      <c r="R18" s="20" t="n">
        <v>0</v>
      </c>
    </row>
    <row r="19" spans="1:18">
      <c r="A19" s="15" t="s">
        <v>361</v>
      </c>
      <c r="B19" s="17" t="n">
        <v>2850</v>
      </c>
      <c r="C19" s="18">
        <f>(2531.0/B19*100)</f>
        <v/>
      </c>
      <c r="D19" s="19" t="n">
        <v>319</v>
      </c>
      <c r="E19" s="18" t="n">
        <v>65.58172463</v>
      </c>
      <c r="F19" s="20" t="n">
        <v>3.05036155</v>
      </c>
      <c r="G19" s="18" t="n">
        <v>33.30721159</v>
      </c>
      <c r="H19" s="20" t="n">
        <v>3.14057768</v>
      </c>
      <c r="I19" s="18" t="s">
        <v>349</v>
      </c>
      <c r="J19" s="20" t="s">
        <v>349</v>
      </c>
      <c r="K19" s="18" t="n">
        <v>1.11106379</v>
      </c>
      <c r="L19" s="20" t="n">
        <v>0.56210824</v>
      </c>
      <c r="M19" s="18" t="n">
        <v>0</v>
      </c>
      <c r="N19" s="20" t="n">
        <v>0</v>
      </c>
      <c r="O19" s="18" t="n">
        <v>0</v>
      </c>
      <c r="P19" s="20" t="n">
        <v>0</v>
      </c>
      <c r="Q19" s="18" t="n">
        <v>0</v>
      </c>
      <c r="R19" s="20" t="n">
        <v>0</v>
      </c>
    </row>
    <row r="20" spans="1:18">
      <c r="A20" s="15" t="s">
        <v>362</v>
      </c>
      <c r="B20" s="17" t="n">
        <v>1741</v>
      </c>
      <c r="C20" s="18">
        <f>(1532.0/B20*100)</f>
        <v/>
      </c>
      <c r="D20" s="19" t="n">
        <v>209</v>
      </c>
      <c r="E20" s="18" t="n">
        <v>55.23244623</v>
      </c>
      <c r="F20" s="20" t="n">
        <v>3.36127173</v>
      </c>
      <c r="G20" s="18" t="n">
        <v>39.35896532</v>
      </c>
      <c r="H20" s="20" t="n">
        <v>3.08628239</v>
      </c>
      <c r="I20" s="18" t="s">
        <v>349</v>
      </c>
      <c r="J20" s="20" t="s">
        <v>349</v>
      </c>
      <c r="K20" s="18" t="n">
        <v>5.40858845</v>
      </c>
      <c r="L20" s="20" t="n">
        <v>1.50325679</v>
      </c>
      <c r="M20" s="18" t="n">
        <v>0</v>
      </c>
      <c r="N20" s="20" t="n">
        <v>0</v>
      </c>
      <c r="O20" s="18" t="n">
        <v>0</v>
      </c>
      <c r="P20" s="20" t="n">
        <v>0</v>
      </c>
      <c r="Q20" s="18" t="n">
        <v>0</v>
      </c>
      <c r="R20" s="20" t="n">
        <v>0</v>
      </c>
    </row>
    <row r="21" spans="1:18">
      <c r="A21" s="15" t="s">
        <v>363</v>
      </c>
      <c r="B21" s="17" t="n">
        <v>2833</v>
      </c>
      <c r="C21" s="18">
        <f>(2379.0/B21*100)</f>
        <v/>
      </c>
      <c r="D21" s="19" t="n">
        <v>454</v>
      </c>
      <c r="E21" s="18" t="n">
        <v>68.04562215999999</v>
      </c>
      <c r="F21" s="20" t="n">
        <v>2.34300197</v>
      </c>
      <c r="G21" s="18" t="n">
        <v>31.51140006</v>
      </c>
      <c r="H21" s="20" t="n">
        <v>2.34346781</v>
      </c>
      <c r="I21" s="18" t="s">
        <v>349</v>
      </c>
      <c r="J21" s="20" t="s">
        <v>349</v>
      </c>
      <c r="K21" s="18" t="n">
        <v>0.44297778</v>
      </c>
      <c r="L21" s="20" t="n">
        <v>0.31008399</v>
      </c>
      <c r="M21" s="18" t="n">
        <v>0</v>
      </c>
      <c r="N21" s="20" t="n">
        <v>0</v>
      </c>
      <c r="O21" s="18" t="n">
        <v>0</v>
      </c>
      <c r="P21" s="20" t="n">
        <v>0</v>
      </c>
      <c r="Q21" s="18" t="n">
        <v>0</v>
      </c>
      <c r="R21" s="20" t="n">
        <v>0</v>
      </c>
    </row>
    <row r="22" spans="1:18">
      <c r="A22" s="15" t="s">
        <v>364</v>
      </c>
      <c r="B22" s="17" t="n">
        <v>3667</v>
      </c>
      <c r="C22" s="18">
        <f>(3207.0/B22*100)</f>
        <v/>
      </c>
      <c r="D22" s="19" t="n">
        <v>460</v>
      </c>
      <c r="E22" s="18" t="n">
        <v>55.78498491</v>
      </c>
      <c r="F22" s="20" t="n">
        <v>2.48989151</v>
      </c>
      <c r="G22" s="18" t="n">
        <v>39.28926461</v>
      </c>
      <c r="H22" s="20" t="n">
        <v>2.39583216</v>
      </c>
      <c r="I22" s="18" t="s">
        <v>349</v>
      </c>
      <c r="J22" s="20" t="s">
        <v>349</v>
      </c>
      <c r="K22" s="18" t="n">
        <v>4.92575048</v>
      </c>
      <c r="L22" s="20" t="n">
        <v>1.00139978</v>
      </c>
      <c r="M22" s="18" t="n">
        <v>0</v>
      </c>
      <c r="N22" s="20" t="n">
        <v>0</v>
      </c>
      <c r="O22" s="18" t="n">
        <v>0</v>
      </c>
      <c r="P22" s="20" t="n">
        <v>0</v>
      </c>
      <c r="Q22" s="18" t="n">
        <v>0</v>
      </c>
      <c r="R22" s="20" t="n">
        <v>0</v>
      </c>
    </row>
    <row r="23" spans="1:18">
      <c r="A23" s="15" t="s">
        <v>365</v>
      </c>
      <c r="B23" s="17" t="n">
        <v>5792</v>
      </c>
      <c r="C23" s="18">
        <f>(5061.0/B23*100)</f>
        <v/>
      </c>
      <c r="D23" s="19" t="n">
        <v>731</v>
      </c>
      <c r="E23" s="18" t="n">
        <v>0.46378166</v>
      </c>
      <c r="F23" s="20" t="n">
        <v>0.06466197999999999</v>
      </c>
      <c r="G23" s="18" t="n">
        <v>0.31151821</v>
      </c>
      <c r="H23" s="20" t="n">
        <v>0.05787838</v>
      </c>
      <c r="I23" s="18" t="s">
        <v>349</v>
      </c>
      <c r="J23" s="20" t="s">
        <v>349</v>
      </c>
      <c r="K23" s="18" t="n">
        <v>0.00836369</v>
      </c>
      <c r="L23" s="20" t="n">
        <v>0.00837215</v>
      </c>
      <c r="M23" s="18" t="n">
        <v>99.21633645</v>
      </c>
      <c r="N23" s="20" t="n">
        <v>0.08610677999999999</v>
      </c>
      <c r="O23" s="18" t="n">
        <v>0</v>
      </c>
      <c r="P23" s="20" t="n">
        <v>0</v>
      </c>
      <c r="Q23" s="18" t="n">
        <v>0</v>
      </c>
      <c r="R23" s="20" t="n">
        <v>0</v>
      </c>
    </row>
    <row r="24" spans="1:18">
      <c r="A24" s="15" t="s">
        <v>366</v>
      </c>
      <c r="B24" s="17" t="n">
        <v>3309</v>
      </c>
      <c r="C24" s="18">
        <f>(2912.0/B24*100)</f>
        <v/>
      </c>
      <c r="D24" s="19" t="n">
        <v>397</v>
      </c>
      <c r="E24" s="18" t="n">
        <v>51.13596263</v>
      </c>
      <c r="F24" s="20" t="n">
        <v>2.90599628</v>
      </c>
      <c r="G24" s="18" t="n">
        <v>48.12323245</v>
      </c>
      <c r="H24" s="20" t="n">
        <v>2.91847921</v>
      </c>
      <c r="I24" s="18" t="s">
        <v>349</v>
      </c>
      <c r="J24" s="20" t="s">
        <v>349</v>
      </c>
      <c r="K24" s="18" t="n">
        <v>0.74080492</v>
      </c>
      <c r="L24" s="20" t="n">
        <v>0.4335202</v>
      </c>
      <c r="M24" s="18" t="n">
        <v>0</v>
      </c>
      <c r="N24" s="20" t="n">
        <v>0</v>
      </c>
      <c r="O24" s="18" t="n">
        <v>0</v>
      </c>
      <c r="P24" s="20" t="n">
        <v>0</v>
      </c>
      <c r="Q24" s="18" t="n">
        <v>0</v>
      </c>
      <c r="R24" s="20" t="n">
        <v>0</v>
      </c>
    </row>
    <row r="25" spans="1:18">
      <c r="A25" s="15" t="s">
        <v>367</v>
      </c>
      <c r="B25" s="17" t="n">
        <v>2669</v>
      </c>
      <c r="C25" s="18">
        <f>(2343.0/B25*100)</f>
        <v/>
      </c>
      <c r="D25" s="19" t="n">
        <v>326</v>
      </c>
      <c r="E25" s="18" t="n">
        <v>53.47725516</v>
      </c>
      <c r="F25" s="20" t="n">
        <v>2.64874315</v>
      </c>
      <c r="G25" s="18" t="n">
        <v>44.88918185</v>
      </c>
      <c r="H25" s="20" t="n">
        <v>2.69686306</v>
      </c>
      <c r="I25" s="18" t="s">
        <v>349</v>
      </c>
      <c r="J25" s="20" t="s">
        <v>349</v>
      </c>
      <c r="K25" s="18" t="n">
        <v>1.63356299</v>
      </c>
      <c r="L25" s="20" t="n">
        <v>0.72974183</v>
      </c>
      <c r="M25" s="18" t="n">
        <v>0</v>
      </c>
      <c r="N25" s="20" t="n">
        <v>0</v>
      </c>
      <c r="O25" s="18" t="n">
        <v>0</v>
      </c>
      <c r="P25" s="20" t="n">
        <v>0</v>
      </c>
      <c r="Q25" s="18" t="n">
        <v>0</v>
      </c>
      <c r="R25" s="20" t="n">
        <v>0</v>
      </c>
    </row>
    <row r="26" spans="1:18">
      <c r="A26" s="15" t="s">
        <v>368</v>
      </c>
      <c r="B26" s="17" t="n">
        <v>2419</v>
      </c>
      <c r="C26" s="18">
        <f>(2132.0/B26*100)</f>
        <v/>
      </c>
      <c r="D26" s="19" t="n">
        <v>287</v>
      </c>
      <c r="E26" s="18" t="n">
        <v>62.24190479</v>
      </c>
      <c r="F26" s="20" t="n">
        <v>2.84611574</v>
      </c>
      <c r="G26" s="18" t="n">
        <v>35.9561299</v>
      </c>
      <c r="H26" s="20" t="n">
        <v>2.80054579</v>
      </c>
      <c r="I26" s="18" t="s">
        <v>349</v>
      </c>
      <c r="J26" s="20" t="s">
        <v>349</v>
      </c>
      <c r="K26" s="18" t="n">
        <v>1.8019653</v>
      </c>
      <c r="L26" s="20" t="n">
        <v>0.95285074</v>
      </c>
      <c r="M26" s="18" t="n">
        <v>0</v>
      </c>
      <c r="N26" s="20" t="n">
        <v>0</v>
      </c>
      <c r="O26" s="18" t="n">
        <v>0</v>
      </c>
      <c r="P26" s="20" t="n">
        <v>0</v>
      </c>
      <c r="Q26" s="18" t="n">
        <v>0</v>
      </c>
      <c r="R26" s="20" t="n">
        <v>0</v>
      </c>
    </row>
    <row r="27" spans="1:18">
      <c r="A27" s="15" t="s">
        <v>369</v>
      </c>
      <c r="B27" s="17" t="n">
        <v>2683</v>
      </c>
      <c r="C27" s="18">
        <f>(2359.0/B27*100)</f>
        <v/>
      </c>
      <c r="D27" s="19" t="n">
        <v>324</v>
      </c>
      <c r="E27" s="18" t="n">
        <v>60.17691092</v>
      </c>
      <c r="F27" s="20" t="n">
        <v>2.69779416</v>
      </c>
      <c r="G27" s="18" t="n">
        <v>37.91159066</v>
      </c>
      <c r="H27" s="20" t="n">
        <v>2.61254839</v>
      </c>
      <c r="I27" s="18" t="s">
        <v>349</v>
      </c>
      <c r="J27" s="20" t="s">
        <v>349</v>
      </c>
      <c r="K27" s="18" t="n">
        <v>1.91149842</v>
      </c>
      <c r="L27" s="20" t="n">
        <v>0.76722822</v>
      </c>
      <c r="M27" s="18" t="n">
        <v>0</v>
      </c>
      <c r="N27" s="20" t="n">
        <v>0</v>
      </c>
      <c r="O27" s="18" t="n">
        <v>0</v>
      </c>
      <c r="P27" s="20" t="n">
        <v>0</v>
      </c>
      <c r="Q27" s="18" t="n">
        <v>0</v>
      </c>
      <c r="R27" s="20" t="n">
        <v>0</v>
      </c>
    </row>
    <row r="28" spans="1:18">
      <c r="A28" s="15" t="s">
        <v>370</v>
      </c>
      <c r="B28" s="17" t="n">
        <v>3803</v>
      </c>
      <c r="C28" s="18">
        <f>(3399.0/B28*100)</f>
        <v/>
      </c>
      <c r="D28" s="19" t="n">
        <v>404</v>
      </c>
      <c r="E28" s="18" t="n">
        <v>68.80854493</v>
      </c>
      <c r="F28" s="20" t="n">
        <v>2.6598386</v>
      </c>
      <c r="G28" s="18" t="n">
        <v>29.07991823</v>
      </c>
      <c r="H28" s="20" t="n">
        <v>2.60619601</v>
      </c>
      <c r="I28" s="18" t="s">
        <v>349</v>
      </c>
      <c r="J28" s="20" t="s">
        <v>349</v>
      </c>
      <c r="K28" s="18" t="n">
        <v>2.11153684</v>
      </c>
      <c r="L28" s="20" t="n">
        <v>0.90575139</v>
      </c>
      <c r="M28" s="18" t="n">
        <v>0</v>
      </c>
      <c r="N28" s="20" t="n">
        <v>0</v>
      </c>
      <c r="O28" s="18" t="n">
        <v>0</v>
      </c>
      <c r="P28" s="20" t="n">
        <v>0</v>
      </c>
      <c r="Q28" s="18" t="n">
        <v>0</v>
      </c>
      <c r="R28" s="20" t="n">
        <v>0</v>
      </c>
    </row>
    <row r="29" spans="1:18">
      <c r="A29" s="15" t="s">
        <v>371</v>
      </c>
      <c r="B29" s="17" t="n">
        <v>2700</v>
      </c>
      <c r="C29" s="18">
        <f>(2368.0/B29*100)</f>
        <v/>
      </c>
      <c r="D29" s="19" t="n">
        <v>332</v>
      </c>
      <c r="E29" s="18" t="n">
        <v>59.62512948</v>
      </c>
      <c r="F29" s="20" t="n">
        <v>3.07539577</v>
      </c>
      <c r="G29" s="18" t="n">
        <v>39.76121016</v>
      </c>
      <c r="H29" s="20" t="n">
        <v>3.10295972</v>
      </c>
      <c r="I29" s="18" t="s">
        <v>349</v>
      </c>
      <c r="J29" s="20" t="s">
        <v>349</v>
      </c>
      <c r="K29" s="18" t="n">
        <v>0.61366037</v>
      </c>
      <c r="L29" s="20" t="n">
        <v>0.4092685</v>
      </c>
      <c r="M29" s="18" t="n">
        <v>0</v>
      </c>
      <c r="N29" s="20" t="n">
        <v>0</v>
      </c>
      <c r="O29" s="18" t="n">
        <v>0</v>
      </c>
      <c r="P29" s="20" t="n">
        <v>0</v>
      </c>
      <c r="Q29" s="18" t="n">
        <v>0</v>
      </c>
      <c r="R29" s="20" t="n">
        <v>0</v>
      </c>
    </row>
    <row r="30" spans="1:18">
      <c r="A30" s="15" t="s">
        <v>372</v>
      </c>
      <c r="B30" s="17" t="n">
        <v>2257</v>
      </c>
      <c r="C30" s="18">
        <f>(1964.0/B30*100)</f>
        <v/>
      </c>
      <c r="D30" s="19" t="n">
        <v>293</v>
      </c>
      <c r="E30" s="18" t="n">
        <v>64.45372986</v>
      </c>
      <c r="F30" s="20" t="n">
        <v>2.9078194</v>
      </c>
      <c r="G30" s="18" t="n">
        <v>32.3043206</v>
      </c>
      <c r="H30" s="20" t="n">
        <v>2.88737621</v>
      </c>
      <c r="I30" s="18" t="s">
        <v>349</v>
      </c>
      <c r="J30" s="20" t="s">
        <v>349</v>
      </c>
      <c r="K30" s="18" t="n">
        <v>3.24194953</v>
      </c>
      <c r="L30" s="20" t="n">
        <v>1.06254792</v>
      </c>
      <c r="M30" s="18" t="n">
        <v>0</v>
      </c>
      <c r="N30" s="20" t="n">
        <v>0</v>
      </c>
      <c r="O30" s="18" t="n">
        <v>0</v>
      </c>
      <c r="P30" s="20" t="n">
        <v>0</v>
      </c>
      <c r="Q30" s="18" t="n">
        <v>0</v>
      </c>
      <c r="R30" s="20" t="n">
        <v>0</v>
      </c>
    </row>
    <row r="31" spans="1:18">
      <c r="A31" s="15" t="s">
        <v>373</v>
      </c>
      <c r="B31" s="17" t="n">
        <v>2706</v>
      </c>
      <c r="C31" s="18">
        <f>(2391.0/B31*100)</f>
        <v/>
      </c>
      <c r="D31" s="19" t="n">
        <v>315</v>
      </c>
      <c r="E31" s="18" t="n">
        <v>52.30055543</v>
      </c>
      <c r="F31" s="20" t="n">
        <v>2.80784633</v>
      </c>
      <c r="G31" s="18" t="n">
        <v>42.9073266</v>
      </c>
      <c r="H31" s="20" t="n">
        <v>2.6445</v>
      </c>
      <c r="I31" s="18" t="s">
        <v>349</v>
      </c>
      <c r="J31" s="20" t="s">
        <v>349</v>
      </c>
      <c r="K31" s="18" t="n">
        <v>4.79211797</v>
      </c>
      <c r="L31" s="20" t="n">
        <v>1.16378987</v>
      </c>
      <c r="M31" s="18" t="n">
        <v>0</v>
      </c>
      <c r="N31" s="20" t="n">
        <v>0</v>
      </c>
      <c r="O31" s="18" t="n">
        <v>0</v>
      </c>
      <c r="P31" s="20" t="n">
        <v>0</v>
      </c>
      <c r="Q31" s="18" t="n">
        <v>0</v>
      </c>
      <c r="R31" s="20" t="n">
        <v>0</v>
      </c>
    </row>
    <row r="32" spans="1:18">
      <c r="A32" s="15" t="s">
        <v>374</v>
      </c>
      <c r="B32" s="17" t="n">
        <v>2209</v>
      </c>
      <c r="C32" s="18">
        <f>(1850.0/B32*100)</f>
        <v/>
      </c>
      <c r="D32" s="19" t="n">
        <v>359</v>
      </c>
      <c r="E32" s="18" t="n">
        <v>62.76455704</v>
      </c>
      <c r="F32" s="20" t="n">
        <v>2.5941703</v>
      </c>
      <c r="G32" s="18" t="n">
        <v>36.33765774</v>
      </c>
      <c r="H32" s="20" t="n">
        <v>2.62578344</v>
      </c>
      <c r="I32" s="18" t="s">
        <v>349</v>
      </c>
      <c r="J32" s="20" t="s">
        <v>349</v>
      </c>
      <c r="K32" s="18" t="n">
        <v>0.8977852200000001</v>
      </c>
      <c r="L32" s="20" t="n">
        <v>0.48758229</v>
      </c>
      <c r="M32" s="18" t="n">
        <v>0</v>
      </c>
      <c r="N32" s="20" t="n">
        <v>0</v>
      </c>
      <c r="O32" s="18" t="n">
        <v>0</v>
      </c>
      <c r="P32" s="20" t="n">
        <v>0</v>
      </c>
      <c r="Q32" s="18" t="n">
        <v>0</v>
      </c>
      <c r="R32" s="20" t="n">
        <v>0</v>
      </c>
    </row>
    <row r="33" spans="1:18">
      <c r="A33" s="15" t="s">
        <v>375</v>
      </c>
      <c r="B33" s="17" t="n">
        <v>3651</v>
      </c>
      <c r="C33" s="18">
        <f>(3234.0/B33*100)</f>
        <v/>
      </c>
      <c r="D33" s="19" t="n">
        <v>417</v>
      </c>
      <c r="E33" s="18" t="n">
        <v>55.88761501</v>
      </c>
      <c r="F33" s="20" t="n">
        <v>2.95198129</v>
      </c>
      <c r="G33" s="18" t="n">
        <v>41.82381207</v>
      </c>
      <c r="H33" s="20" t="n">
        <v>2.77143834</v>
      </c>
      <c r="I33" s="18" t="s">
        <v>349</v>
      </c>
      <c r="J33" s="20" t="s">
        <v>349</v>
      </c>
      <c r="K33" s="18" t="n">
        <v>2.28857292</v>
      </c>
      <c r="L33" s="20" t="n">
        <v>0.92557775</v>
      </c>
      <c r="M33" s="18" t="n">
        <v>0</v>
      </c>
      <c r="N33" s="20" t="n">
        <v>0</v>
      </c>
      <c r="O33" s="18" t="n">
        <v>0</v>
      </c>
      <c r="P33" s="20" t="n">
        <v>0</v>
      </c>
      <c r="Q33" s="18" t="n">
        <v>0</v>
      </c>
      <c r="R33" s="20" t="n">
        <v>0</v>
      </c>
    </row>
    <row r="34" spans="1:18">
      <c r="A34" s="15" t="s">
        <v>376</v>
      </c>
      <c r="B34" s="17" t="n">
        <v>3035</v>
      </c>
      <c r="C34" s="18">
        <f>(2670.0/B34*100)</f>
        <v/>
      </c>
      <c r="D34" s="19" t="n">
        <v>365</v>
      </c>
      <c r="E34" s="18" t="n">
        <v>64.77929528</v>
      </c>
      <c r="F34" s="20" t="n">
        <v>2.89779902</v>
      </c>
      <c r="G34" s="18" t="n">
        <v>32.6311458</v>
      </c>
      <c r="H34" s="20" t="n">
        <v>2.89786324</v>
      </c>
      <c r="I34" s="18" t="s">
        <v>349</v>
      </c>
      <c r="J34" s="20" t="s">
        <v>349</v>
      </c>
      <c r="K34" s="18" t="n">
        <v>2.58955892</v>
      </c>
      <c r="L34" s="20" t="n">
        <v>0.75690866</v>
      </c>
      <c r="M34" s="18" t="n">
        <v>0</v>
      </c>
      <c r="N34" s="20" t="n">
        <v>0</v>
      </c>
      <c r="O34" s="18" t="n">
        <v>0</v>
      </c>
      <c r="P34" s="20" t="n">
        <v>0</v>
      </c>
      <c r="Q34" s="18" t="n">
        <v>0</v>
      </c>
      <c r="R34" s="20" t="n">
        <v>0</v>
      </c>
    </row>
    <row r="35" spans="1:18">
      <c r="A35" s="15" t="s">
        <v>377</v>
      </c>
      <c r="B35" s="17" t="n">
        <v>2901</v>
      </c>
      <c r="C35" s="18">
        <f>(2565.0/B35*100)</f>
        <v/>
      </c>
      <c r="D35" s="19" t="n">
        <v>336</v>
      </c>
      <c r="E35" s="18" t="n">
        <v>61.23783961</v>
      </c>
      <c r="F35" s="20" t="n">
        <v>3.37935182</v>
      </c>
      <c r="G35" s="18" t="n">
        <v>35.88874638</v>
      </c>
      <c r="H35" s="20" t="n">
        <v>3.23970078</v>
      </c>
      <c r="I35" s="18" t="s">
        <v>349</v>
      </c>
      <c r="J35" s="20" t="s">
        <v>349</v>
      </c>
      <c r="K35" s="18" t="n">
        <v>2.87341401</v>
      </c>
      <c r="L35" s="20" t="n">
        <v>1.43070167</v>
      </c>
      <c r="M35" s="18" t="n">
        <v>0</v>
      </c>
      <c r="N35" s="20" t="n">
        <v>0</v>
      </c>
      <c r="O35" s="18" t="n">
        <v>0</v>
      </c>
      <c r="P35" s="20" t="n">
        <v>0</v>
      </c>
      <c r="Q35" s="18" t="n">
        <v>0</v>
      </c>
      <c r="R35" s="20" t="n">
        <v>0</v>
      </c>
    </row>
    <row r="36" spans="1:18">
      <c r="A36" s="15" t="s">
        <v>378</v>
      </c>
      <c r="B36" s="17" t="n">
        <v>3404</v>
      </c>
      <c r="C36" s="18">
        <f>(2974.0/B36*100)</f>
        <v/>
      </c>
      <c r="D36" s="19" t="n">
        <v>430</v>
      </c>
      <c r="E36" s="18" t="n">
        <v>62.45594736</v>
      </c>
      <c r="F36" s="20" t="n">
        <v>2.51986664</v>
      </c>
      <c r="G36" s="18" t="n">
        <v>36.77887759</v>
      </c>
      <c r="H36" s="20" t="n">
        <v>2.47288113</v>
      </c>
      <c r="I36" s="18" t="s">
        <v>349</v>
      </c>
      <c r="J36" s="20" t="s">
        <v>349</v>
      </c>
      <c r="K36" s="18" t="n">
        <v>0.76517505</v>
      </c>
      <c r="L36" s="20" t="n">
        <v>0.4590752</v>
      </c>
      <c r="M36" s="18" t="n">
        <v>0</v>
      </c>
      <c r="N36" s="20" t="n">
        <v>0</v>
      </c>
      <c r="O36" s="18" t="n">
        <v>0</v>
      </c>
      <c r="P36" s="20" t="n">
        <v>0</v>
      </c>
      <c r="Q36" s="18" t="n">
        <v>0</v>
      </c>
      <c r="R36" s="20" t="n">
        <v>0</v>
      </c>
    </row>
    <row r="37" spans="1:18">
      <c r="A37" s="15" t="s">
        <v>379</v>
      </c>
      <c r="B37" s="17" t="n">
        <v>2731</v>
      </c>
      <c r="C37" s="18">
        <f>(2408.0/B37*100)</f>
        <v/>
      </c>
      <c r="D37" s="19" t="n">
        <v>323</v>
      </c>
      <c r="E37" s="18" t="n">
        <v>56.2513195</v>
      </c>
      <c r="F37" s="20" t="n">
        <v>3.17721992</v>
      </c>
      <c r="G37" s="18" t="n">
        <v>39.05722964</v>
      </c>
      <c r="H37" s="20" t="n">
        <v>3.0814503</v>
      </c>
      <c r="I37" s="18" t="s">
        <v>349</v>
      </c>
      <c r="J37" s="20" t="s">
        <v>349</v>
      </c>
      <c r="K37" s="18" t="n">
        <v>4.69145086</v>
      </c>
      <c r="L37" s="20" t="n">
        <v>1.19628605</v>
      </c>
      <c r="M37" s="18" t="n">
        <v>0</v>
      </c>
      <c r="N37" s="20" t="n">
        <v>0</v>
      </c>
      <c r="O37" s="18" t="n">
        <v>0</v>
      </c>
      <c r="P37" s="20" t="n">
        <v>0</v>
      </c>
      <c r="Q37" s="18" t="n">
        <v>0</v>
      </c>
      <c r="R37" s="20" t="n">
        <v>0</v>
      </c>
    </row>
    <row r="38" spans="1:18">
      <c r="A38" s="15" t="s">
        <v>380</v>
      </c>
      <c r="B38" s="17" t="n">
        <v>2807</v>
      </c>
      <c r="C38" s="18">
        <f>(2365.0/B38*100)</f>
        <v/>
      </c>
      <c r="D38" s="19" t="n">
        <v>442</v>
      </c>
      <c r="E38" s="18" t="n">
        <v>54.78302654</v>
      </c>
      <c r="F38" s="20" t="n">
        <v>2.76436982</v>
      </c>
      <c r="G38" s="18" t="n">
        <v>42.48279351</v>
      </c>
      <c r="H38" s="20" t="n">
        <v>2.63936869</v>
      </c>
      <c r="I38" s="18" t="s">
        <v>349</v>
      </c>
      <c r="J38" s="20" t="s">
        <v>349</v>
      </c>
      <c r="K38" s="18" t="n">
        <v>2.73417995</v>
      </c>
      <c r="L38" s="20" t="n">
        <v>0.77047322</v>
      </c>
      <c r="M38" s="18" t="n">
        <v>0</v>
      </c>
      <c r="N38" s="20" t="n">
        <v>0</v>
      </c>
      <c r="O38" s="18" t="n">
        <v>0</v>
      </c>
      <c r="P38" s="20" t="n">
        <v>0</v>
      </c>
      <c r="Q38" s="18" t="n">
        <v>0</v>
      </c>
      <c r="R38" s="20" t="n">
        <v>0</v>
      </c>
    </row>
    <row r="39" spans="1:18">
      <c r="A39" s="15" t="s">
        <v>381</v>
      </c>
      <c r="B39" s="17" t="n">
        <v>2938</v>
      </c>
      <c r="C39" s="18">
        <f>(2583.0/B39*100)</f>
        <v/>
      </c>
      <c r="D39" s="19" t="n">
        <v>355</v>
      </c>
      <c r="E39" s="18" t="n">
        <v>70.20921327000001</v>
      </c>
      <c r="F39" s="20" t="n">
        <v>2.49025906</v>
      </c>
      <c r="G39" s="18" t="n">
        <v>28.64783153</v>
      </c>
      <c r="H39" s="20" t="n">
        <v>2.51640713</v>
      </c>
      <c r="I39" s="18" t="s">
        <v>349</v>
      </c>
      <c r="J39" s="20" t="s">
        <v>349</v>
      </c>
      <c r="K39" s="18" t="n">
        <v>1.1429552</v>
      </c>
      <c r="L39" s="20" t="n">
        <v>0.38385008</v>
      </c>
      <c r="M39" s="18" t="n">
        <v>0</v>
      </c>
      <c r="N39" s="20" t="n">
        <v>0</v>
      </c>
      <c r="O39" s="18" t="n">
        <v>0</v>
      </c>
      <c r="P39" s="20" t="n">
        <v>0</v>
      </c>
      <c r="Q39" s="18" t="n">
        <v>0</v>
      </c>
      <c r="R39" s="20" t="n">
        <v>0</v>
      </c>
    </row>
    <row r="40" spans="1:18">
      <c r="A40" s="15" t="s">
        <v>382</v>
      </c>
      <c r="B40" s="17" t="n">
        <v>6922</v>
      </c>
      <c r="C40" s="18">
        <f>(6089.0/B40*100)</f>
        <v/>
      </c>
      <c r="D40" s="19" t="n">
        <v>833</v>
      </c>
      <c r="E40" s="18" t="n">
        <v>68.33509279</v>
      </c>
      <c r="F40" s="20" t="n">
        <v>2.42894879</v>
      </c>
      <c r="G40" s="18" t="n">
        <v>29.6633225</v>
      </c>
      <c r="H40" s="20" t="n">
        <v>2.49426599</v>
      </c>
      <c r="I40" s="18" t="s">
        <v>349</v>
      </c>
      <c r="J40" s="20" t="s">
        <v>349</v>
      </c>
      <c r="K40" s="18" t="n">
        <v>2.00158471</v>
      </c>
      <c r="L40" s="20" t="n">
        <v>0.57664127</v>
      </c>
      <c r="M40" s="18" t="n">
        <v>0</v>
      </c>
      <c r="N40" s="20" t="n">
        <v>0</v>
      </c>
      <c r="O40" s="18" t="n">
        <v>0</v>
      </c>
      <c r="P40" s="20" t="n">
        <v>0</v>
      </c>
      <c r="Q40" s="18" t="n">
        <v>0</v>
      </c>
      <c r="R40" s="20" t="n">
        <v>0</v>
      </c>
    </row>
    <row r="41" spans="1:18">
      <c r="A41" s="15" t="s">
        <v>383</v>
      </c>
      <c r="B41" s="17" t="n">
        <v>2854</v>
      </c>
      <c r="C41" s="18">
        <f>(2505.0/B41*100)</f>
        <v/>
      </c>
      <c r="D41" s="19" t="n">
        <v>349</v>
      </c>
      <c r="E41" s="18" t="n">
        <v>69.57487929</v>
      </c>
      <c r="F41" s="20" t="n">
        <v>3.01698752</v>
      </c>
      <c r="G41" s="18" t="n">
        <v>29.84772862</v>
      </c>
      <c r="H41" s="20" t="n">
        <v>3.01440841</v>
      </c>
      <c r="I41" s="18" t="s">
        <v>349</v>
      </c>
      <c r="J41" s="20" t="s">
        <v>349</v>
      </c>
      <c r="K41" s="18" t="n">
        <v>0.57739209</v>
      </c>
      <c r="L41" s="20" t="n">
        <v>0.38465476</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(10884.0/B46*100)</f>
        <v/>
      </c>
      <c r="D46" s="19" t="n">
        <v>1189</v>
      </c>
      <c r="E46" s="18" t="n">
        <v>67.71969616</v>
      </c>
      <c r="F46" s="20" t="n">
        <v>2.10411423</v>
      </c>
      <c r="G46" s="18" t="n">
        <v>27.80207273</v>
      </c>
      <c r="H46" s="20" t="n">
        <v>1.78035644</v>
      </c>
      <c r="I46" s="18" t="s">
        <v>349</v>
      </c>
      <c r="J46" s="20" t="s">
        <v>349</v>
      </c>
      <c r="K46" s="18" t="n">
        <v>4.47823111</v>
      </c>
      <c r="L46" s="20" t="n">
        <v>0.90522556</v>
      </c>
      <c r="M46" s="18" t="n">
        <v>0</v>
      </c>
      <c r="N46" s="20" t="n">
        <v>0</v>
      </c>
      <c r="O46" s="18" t="n">
        <v>0</v>
      </c>
      <c r="P46" s="20" t="n">
        <v>0</v>
      </c>
      <c r="Q46" s="18" t="n">
        <v>0</v>
      </c>
      <c r="R46" s="20" t="n">
        <v>0</v>
      </c>
    </row>
    <row r="47" spans="1:18">
      <c r="A47" s="15" t="s">
        <v>389</v>
      </c>
      <c r="B47" s="17" t="n">
        <v>2823</v>
      </c>
      <c r="C47" s="18">
        <f>(2491.0/B47*100)</f>
        <v/>
      </c>
      <c r="D47" s="19" t="n">
        <v>332</v>
      </c>
      <c r="E47" s="18" t="n">
        <v>66.79944355000001</v>
      </c>
      <c r="F47" s="20" t="n">
        <v>2.78175239</v>
      </c>
      <c r="G47" s="18" t="n">
        <v>30.73200527</v>
      </c>
      <c r="H47" s="20" t="n">
        <v>2.64193218</v>
      </c>
      <c r="I47" s="18" t="s">
        <v>349</v>
      </c>
      <c r="J47" s="20" t="s">
        <v>349</v>
      </c>
      <c r="K47" s="18" t="n">
        <v>2.46855118</v>
      </c>
      <c r="L47" s="20" t="n">
        <v>0.93596724</v>
      </c>
      <c r="M47" s="18" t="n">
        <v>0</v>
      </c>
      <c r="N47" s="20" t="n">
        <v>0</v>
      </c>
      <c r="O47" s="18" t="n">
        <v>0</v>
      </c>
      <c r="P47" s="20" t="n">
        <v>0</v>
      </c>
      <c r="Q47" s="18" t="n">
        <v>0</v>
      </c>
      <c r="R47" s="20" t="n">
        <v>0</v>
      </c>
    </row>
    <row r="48" spans="1:18">
      <c r="A48" s="15" t="s">
        <v>390</v>
      </c>
      <c r="B48" s="17" t="n">
        <v>4682</v>
      </c>
      <c r="C48" s="18">
        <f>(4114.0/B48*100)</f>
        <v/>
      </c>
      <c r="D48" s="19" t="n">
        <v>568</v>
      </c>
      <c r="E48" s="18" t="n">
        <v>52.09529994</v>
      </c>
      <c r="F48" s="20" t="n">
        <v>3.27964381</v>
      </c>
      <c r="G48" s="18" t="n">
        <v>46.0032121</v>
      </c>
      <c r="H48" s="20" t="n">
        <v>3.11885457</v>
      </c>
      <c r="I48" s="18" t="s">
        <v>349</v>
      </c>
      <c r="J48" s="20" t="s">
        <v>349</v>
      </c>
      <c r="K48" s="18" t="n">
        <v>1.90148796</v>
      </c>
      <c r="L48" s="20" t="n">
        <v>1.15972678</v>
      </c>
      <c r="M48" s="18" t="n">
        <v>0</v>
      </c>
      <c r="N48" s="20" t="n">
        <v>0</v>
      </c>
      <c r="O48" s="18" t="n">
        <v>0</v>
      </c>
      <c r="P48" s="20" t="n">
        <v>0</v>
      </c>
      <c r="Q48" s="18" t="n">
        <v>0</v>
      </c>
      <c r="R48" s="20" t="n">
        <v>0</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(5436.0/B50*100)</f>
        <v/>
      </c>
      <c r="D50" s="19" t="n">
        <v>722</v>
      </c>
      <c r="E50" s="18" t="n">
        <v>62.22705154</v>
      </c>
      <c r="F50" s="20" t="n">
        <v>2.21933005</v>
      </c>
      <c r="G50" s="18" t="n">
        <v>34.50839602</v>
      </c>
      <c r="H50" s="20" t="n">
        <v>2.25624859</v>
      </c>
      <c r="I50" s="18" t="s">
        <v>349</v>
      </c>
      <c r="J50" s="20" t="s">
        <v>349</v>
      </c>
      <c r="K50" s="18" t="n">
        <v>3.26455244</v>
      </c>
      <c r="L50" s="20" t="n">
        <v>0.94577908</v>
      </c>
      <c r="M50" s="18" t="n">
        <v>0</v>
      </c>
      <c r="N50" s="20" t="n">
        <v>0</v>
      </c>
      <c r="O50" s="18" t="n">
        <v>0</v>
      </c>
      <c r="P50" s="20" t="n">
        <v>0</v>
      </c>
      <c r="Q50" s="18" t="n">
        <v>0</v>
      </c>
      <c r="R50" s="20" t="n">
        <v>0</v>
      </c>
    </row>
    <row r="51" spans="1:18">
      <c r="A51" s="15" t="s">
        <v>393</v>
      </c>
      <c r="B51" s="17" t="n">
        <v>3494</v>
      </c>
      <c r="C51" s="18">
        <f>(3143.0/B51*100)</f>
        <v/>
      </c>
      <c r="D51" s="19" t="n">
        <v>351</v>
      </c>
      <c r="E51" s="18" t="n">
        <v>68.71600406</v>
      </c>
      <c r="F51" s="20" t="n">
        <v>2.53252828</v>
      </c>
      <c r="G51" s="18" t="n">
        <v>27.13914576</v>
      </c>
      <c r="H51" s="20" t="n">
        <v>2.40253643</v>
      </c>
      <c r="I51" s="18" t="s">
        <v>349</v>
      </c>
      <c r="J51" s="20" t="s">
        <v>349</v>
      </c>
      <c r="K51" s="18" t="n">
        <v>4.14485018</v>
      </c>
      <c r="L51" s="20" t="n">
        <v>1.22887573</v>
      </c>
      <c r="M51" s="18" t="n">
        <v>0</v>
      </c>
      <c r="N51" s="20" t="n">
        <v>0</v>
      </c>
      <c r="O51" s="18" t="n">
        <v>0</v>
      </c>
      <c r="P51" s="20" t="n">
        <v>0</v>
      </c>
      <c r="Q51" s="18" t="n">
        <v>0</v>
      </c>
      <c r="R51" s="20" t="n">
        <v>0</v>
      </c>
    </row>
    <row r="52" spans="1:18">
      <c r="A52" s="15" t="s">
        <v>394</v>
      </c>
      <c r="B52" s="17" t="n">
        <v>3013</v>
      </c>
      <c r="C52" s="18">
        <f>(2649.0/B52*100)</f>
        <v/>
      </c>
      <c r="D52" s="19" t="n">
        <v>364</v>
      </c>
      <c r="E52" s="18" t="n">
        <v>63.78354308</v>
      </c>
      <c r="F52" s="20" t="n">
        <v>2.62178418</v>
      </c>
      <c r="G52" s="18" t="n">
        <v>35.60844965</v>
      </c>
      <c r="H52" s="20" t="n">
        <v>2.6266717</v>
      </c>
      <c r="I52" s="18" t="s">
        <v>349</v>
      </c>
      <c r="J52" s="20" t="s">
        <v>349</v>
      </c>
      <c r="K52" s="18" t="n">
        <v>0.60800727</v>
      </c>
      <c r="L52" s="20" t="n">
        <v>0.41765711</v>
      </c>
      <c r="M52" s="18" t="n">
        <v>0</v>
      </c>
      <c r="N52" s="20" t="n">
        <v>0</v>
      </c>
      <c r="O52" s="18" t="n">
        <v>0</v>
      </c>
      <c r="P52" s="20" t="n">
        <v>0</v>
      </c>
      <c r="Q52" s="18" t="n">
        <v>0</v>
      </c>
      <c r="R52" s="20" t="n">
        <v>0</v>
      </c>
    </row>
    <row r="53" spans="1:18">
      <c r="A53" s="15" t="s">
        <v>395</v>
      </c>
      <c r="B53" s="17" t="n">
        <v>2760</v>
      </c>
      <c r="C53" s="18">
        <f>(2417.0/B53*100)</f>
        <v/>
      </c>
      <c r="D53" s="19" t="n">
        <v>343</v>
      </c>
      <c r="E53" s="18" t="n">
        <v>7.80127429</v>
      </c>
      <c r="F53" s="20" t="n">
        <v>1.50636295</v>
      </c>
      <c r="G53" s="18" t="n">
        <v>6.19621314</v>
      </c>
      <c r="H53" s="20" t="n">
        <v>1.50811563</v>
      </c>
      <c r="I53" s="18" t="s">
        <v>349</v>
      </c>
      <c r="J53" s="20" t="s">
        <v>349</v>
      </c>
      <c r="K53" s="18" t="n">
        <v>0.24900326</v>
      </c>
      <c r="L53" s="20" t="n">
        <v>0.24108487</v>
      </c>
      <c r="M53" s="18" t="n">
        <v>85.75350932000001</v>
      </c>
      <c r="N53" s="20" t="n">
        <v>1.94211198</v>
      </c>
      <c r="O53" s="18" t="n">
        <v>0</v>
      </c>
      <c r="P53" s="20" t="n">
        <v>0</v>
      </c>
      <c r="Q53" s="18" t="n">
        <v>0</v>
      </c>
      <c r="R53" s="20" t="n">
        <v>0</v>
      </c>
    </row>
    <row r="54" spans="1:18">
      <c r="A54" s="15" t="s">
        <v>396</v>
      </c>
      <c r="B54" s="17" t="n">
        <v>2474</v>
      </c>
      <c r="C54" s="18">
        <f>(2045.0/B54*100)</f>
        <v/>
      </c>
      <c r="D54" s="19" t="n">
        <v>429</v>
      </c>
      <c r="E54" s="18" t="n">
        <v>64.41190342</v>
      </c>
      <c r="F54" s="20" t="n">
        <v>2.61647011</v>
      </c>
      <c r="G54" s="18" t="n">
        <v>19.2279533</v>
      </c>
      <c r="H54" s="20" t="n">
        <v>2.13288616</v>
      </c>
      <c r="I54" s="18" t="s">
        <v>349</v>
      </c>
      <c r="J54" s="20" t="s">
        <v>349</v>
      </c>
      <c r="K54" s="18" t="n">
        <v>16.36014328</v>
      </c>
      <c r="L54" s="20" t="n">
        <v>1.80637312</v>
      </c>
      <c r="M54" s="18" t="n">
        <v>0</v>
      </c>
      <c r="N54" s="20" t="n">
        <v>0</v>
      </c>
      <c r="O54" s="18" t="n">
        <v>0</v>
      </c>
      <c r="P54" s="20" t="n">
        <v>0</v>
      </c>
      <c r="Q54" s="18" t="n">
        <v>0</v>
      </c>
      <c r="R54" s="20" t="n">
        <v>0</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(2339.0/B56*100)</f>
        <v/>
      </c>
      <c r="D56" s="19" t="n">
        <v>336</v>
      </c>
      <c r="E56" s="18" t="n">
        <v>60.00310646</v>
      </c>
      <c r="F56" s="20" t="n">
        <v>2.52100158</v>
      </c>
      <c r="G56" s="18" t="n">
        <v>39.99689354</v>
      </c>
      <c r="H56" s="20" t="n">
        <v>2.52100158</v>
      </c>
      <c r="I56" s="18" t="s">
        <v>349</v>
      </c>
      <c r="J56" s="20" t="s">
        <v>349</v>
      </c>
      <c r="K56" s="18" t="n">
        <v>0</v>
      </c>
      <c r="L56" s="20" t="n">
        <v>0</v>
      </c>
      <c r="M56" s="18" t="n">
        <v>0</v>
      </c>
      <c r="N56" s="20" t="n">
        <v>0</v>
      </c>
      <c r="O56" s="18" t="n">
        <v>0</v>
      </c>
      <c r="P56" s="20" t="n">
        <v>0</v>
      </c>
      <c r="Q56" s="18" t="n">
        <v>0</v>
      </c>
      <c r="R56" s="20" t="n">
        <v>0</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(2801.0/B61*100)</f>
        <v/>
      </c>
      <c r="D61" s="19" t="n">
        <v>400</v>
      </c>
      <c r="E61" s="18" t="n">
        <v>67.56513193000001</v>
      </c>
      <c r="F61" s="20" t="n">
        <v>2.03106139</v>
      </c>
      <c r="G61" s="18" t="n">
        <v>31.64592652</v>
      </c>
      <c r="H61" s="20" t="n">
        <v>1.97142918</v>
      </c>
      <c r="I61" s="18" t="s">
        <v>349</v>
      </c>
      <c r="J61" s="20" t="s">
        <v>349</v>
      </c>
      <c r="K61" s="18" t="n">
        <v>0.78894155</v>
      </c>
      <c r="L61" s="20" t="n">
        <v>0.71014115</v>
      </c>
      <c r="M61" s="18" t="n">
        <v>0</v>
      </c>
      <c r="N61" s="20" t="n">
        <v>0</v>
      </c>
      <c r="O61" s="18" t="n">
        <v>0</v>
      </c>
      <c r="P61" s="20" t="n">
        <v>0</v>
      </c>
      <c r="Q61" s="18" t="n">
        <v>0</v>
      </c>
      <c r="R61" s="20" t="n">
        <v>0</v>
      </c>
    </row>
    <row r="62" spans="1:18">
      <c r="A62" s="15" t="s">
        <v>404</v>
      </c>
      <c r="B62" s="17" t="n">
        <v>2230</v>
      </c>
      <c r="C62" s="18">
        <f>(1985.0/B62*100)</f>
        <v/>
      </c>
      <c r="D62" s="19" t="n">
        <v>245</v>
      </c>
      <c r="E62" s="18" t="n">
        <v>56.79401743</v>
      </c>
      <c r="F62" s="20" t="n">
        <v>3.4893066</v>
      </c>
      <c r="G62" s="18" t="n">
        <v>42.80096925</v>
      </c>
      <c r="H62" s="20" t="n">
        <v>3.49029721</v>
      </c>
      <c r="I62" s="18" t="s">
        <v>349</v>
      </c>
      <c r="J62" s="20" t="s">
        <v>349</v>
      </c>
      <c r="K62" s="18" t="n">
        <v>0.40501332</v>
      </c>
      <c r="L62" s="20" t="n">
        <v>0.40669821</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(2448.0/B66*100)</f>
        <v/>
      </c>
      <c r="D66" s="19" t="n">
        <v>323</v>
      </c>
      <c r="E66" s="18" t="n">
        <v>61.17523848</v>
      </c>
      <c r="F66" s="20" t="n">
        <v>2.20547169</v>
      </c>
      <c r="G66" s="18" t="n">
        <v>32.6957985</v>
      </c>
      <c r="H66" s="20" t="n">
        <v>2.28576396</v>
      </c>
      <c r="I66" s="18" t="s">
        <v>349</v>
      </c>
      <c r="J66" s="20" t="s">
        <v>349</v>
      </c>
      <c r="K66" s="18" t="n">
        <v>6.12896302</v>
      </c>
      <c r="L66" s="20" t="n">
        <v>1.31104829</v>
      </c>
      <c r="M66" s="18" t="n">
        <v>0</v>
      </c>
      <c r="N66" s="20" t="n">
        <v>0</v>
      </c>
      <c r="O66" s="18" t="n">
        <v>0</v>
      </c>
      <c r="P66" s="20" t="n">
        <v>0</v>
      </c>
      <c r="Q66" s="18" t="n">
        <v>0</v>
      </c>
      <c r="R66" s="20" t="n">
        <v>0</v>
      </c>
    </row>
    <row r="67" spans="1:18">
      <c r="A67" s="15" t="s">
        <v>409</v>
      </c>
      <c r="B67" s="17" t="n">
        <v>3460</v>
      </c>
      <c r="C67" s="18">
        <f>(3101.0/B67*100)</f>
        <v/>
      </c>
      <c r="D67" s="19" t="n">
        <v>359</v>
      </c>
      <c r="E67" s="18" t="n">
        <v>69.23807288</v>
      </c>
      <c r="F67" s="20" t="n">
        <v>2.50874471</v>
      </c>
      <c r="G67" s="18" t="n">
        <v>30.3473711</v>
      </c>
      <c r="H67" s="20" t="n">
        <v>2.48376756</v>
      </c>
      <c r="I67" s="18" t="s">
        <v>349</v>
      </c>
      <c r="J67" s="20" t="s">
        <v>349</v>
      </c>
      <c r="K67" s="18" t="n">
        <v>0.41455602</v>
      </c>
      <c r="L67" s="20" t="n">
        <v>0.29188194</v>
      </c>
      <c r="M67" s="18" t="n">
        <v>0</v>
      </c>
      <c r="N67" s="20" t="n">
        <v>0</v>
      </c>
      <c r="O67" s="18" t="n">
        <v>0</v>
      </c>
      <c r="P67" s="20" t="n">
        <v>0</v>
      </c>
      <c r="Q67" s="18" t="n">
        <v>0</v>
      </c>
      <c r="R67" s="20" t="n">
        <v>0</v>
      </c>
    </row>
    <row r="68" spans="1:18">
      <c r="A68" s="15" t="s">
        <v>410</v>
      </c>
      <c r="B68" s="17" t="n">
        <v>6034</v>
      </c>
      <c r="C68" s="18">
        <f>(5040.0/B68*100)</f>
        <v/>
      </c>
      <c r="D68" s="19" t="n">
        <v>994</v>
      </c>
      <c r="E68" s="18" t="n">
        <v>26.74774907</v>
      </c>
      <c r="F68" s="20" t="n">
        <v>1.62162569</v>
      </c>
      <c r="G68" s="18" t="n">
        <v>12.09511017</v>
      </c>
      <c r="H68" s="20" t="n">
        <v>1.12622221</v>
      </c>
      <c r="I68" s="18" t="s">
        <v>349</v>
      </c>
      <c r="J68" s="20" t="s">
        <v>349</v>
      </c>
      <c r="K68" s="18" t="n">
        <v>2.56171925</v>
      </c>
      <c r="L68" s="20" t="n">
        <v>0.50884723</v>
      </c>
      <c r="M68" s="18" t="n">
        <v>58.59542151</v>
      </c>
      <c r="N68" s="20" t="n">
        <v>1.59797483</v>
      </c>
      <c r="O68" s="18" t="n">
        <v>0</v>
      </c>
      <c r="P68" s="20" t="n">
        <v>0</v>
      </c>
      <c r="Q68" s="18" t="n">
        <v>0</v>
      </c>
      <c r="R68" s="20" t="n">
        <v>0</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(2761.0/B70*100)</f>
        <v/>
      </c>
      <c r="D70" s="19" t="n">
        <v>346</v>
      </c>
      <c r="E70" s="18" t="n">
        <v>65.50856932000001</v>
      </c>
      <c r="F70" s="20" t="n">
        <v>2.50714764</v>
      </c>
      <c r="G70" s="18" t="n">
        <v>31.83952378</v>
      </c>
      <c r="H70" s="20" t="n">
        <v>2.57996447</v>
      </c>
      <c r="I70" s="18" t="s">
        <v>349</v>
      </c>
      <c r="J70" s="20" t="s">
        <v>349</v>
      </c>
      <c r="K70" s="18" t="n">
        <v>2.6519069</v>
      </c>
      <c r="L70" s="20" t="n">
        <v>0.90946281</v>
      </c>
      <c r="M70" s="18" t="n">
        <v>0</v>
      </c>
      <c r="N70" s="20" t="n">
        <v>0</v>
      </c>
      <c r="O70" s="18" t="n">
        <v>0</v>
      </c>
      <c r="P70" s="20" t="n">
        <v>0</v>
      </c>
      <c r="Q70" s="18" t="n">
        <v>0</v>
      </c>
      <c r="R70" s="20" t="n">
        <v>0</v>
      </c>
    </row>
    <row r="71" spans="1:18">
      <c r="A71" s="15" t="s">
        <v>413</v>
      </c>
      <c r="B71" s="17" t="n">
        <v>2973</v>
      </c>
      <c r="C71" s="18">
        <f>(2596.0/B71*100)</f>
        <v/>
      </c>
      <c r="D71" s="19" t="n">
        <v>377</v>
      </c>
      <c r="E71" s="18" t="n">
        <v>68.1009792</v>
      </c>
      <c r="F71" s="20" t="n">
        <v>2.55749097</v>
      </c>
      <c r="G71" s="18" t="n">
        <v>31.34209069</v>
      </c>
      <c r="H71" s="20" t="n">
        <v>2.59414214</v>
      </c>
      <c r="I71" s="18" t="s">
        <v>349</v>
      </c>
      <c r="J71" s="20" t="s">
        <v>349</v>
      </c>
      <c r="K71" s="18" t="n">
        <v>0.55693012</v>
      </c>
      <c r="L71" s="20" t="n">
        <v>0.39615062</v>
      </c>
      <c r="M71" s="18" t="n">
        <v>0</v>
      </c>
      <c r="N71" s="20" t="n">
        <v>0</v>
      </c>
      <c r="O71" s="18" t="n">
        <v>0</v>
      </c>
      <c r="P71" s="20" t="n">
        <v>0</v>
      </c>
      <c r="Q71" s="18" t="n">
        <v>0</v>
      </c>
      <c r="R71" s="20" t="n">
        <v>0</v>
      </c>
    </row>
    <row r="72" spans="1:18">
      <c r="A72" s="15" t="s">
        <v>414</v>
      </c>
      <c r="B72" s="17" t="n">
        <v>3819</v>
      </c>
      <c r="C72" s="18">
        <f>(3330.0/B72*100)</f>
        <v/>
      </c>
      <c r="D72" s="19" t="n">
        <v>489</v>
      </c>
      <c r="E72" s="18" t="n">
        <v>56.84521687</v>
      </c>
      <c r="F72" s="20" t="n">
        <v>2.31286809</v>
      </c>
      <c r="G72" s="18" t="n">
        <v>42.60243091</v>
      </c>
      <c r="H72" s="20" t="n">
        <v>2.32524673</v>
      </c>
      <c r="I72" s="18" t="s">
        <v>349</v>
      </c>
      <c r="J72" s="20" t="s">
        <v>349</v>
      </c>
      <c r="K72" s="18" t="n">
        <v>0.5523522199999999</v>
      </c>
      <c r="L72" s="20" t="n">
        <v>0.32433147</v>
      </c>
      <c r="M72" s="18" t="n">
        <v>0</v>
      </c>
      <c r="N72" s="20" t="n">
        <v>0</v>
      </c>
      <c r="O72" s="18" t="n">
        <v>0</v>
      </c>
      <c r="P72" s="20" t="n">
        <v>0</v>
      </c>
      <c r="Q72" s="18" t="n">
        <v>0</v>
      </c>
      <c r="R72" s="20" t="n">
        <v>0</v>
      </c>
    </row>
    <row r="73" spans="1:18">
      <c r="A73" s="15" t="s">
        <v>415</v>
      </c>
      <c r="B73" s="17" t="n">
        <v>4652</v>
      </c>
      <c r="C73" s="18">
        <f>(4121.0/B73*100)</f>
        <v/>
      </c>
      <c r="D73" s="19" t="n">
        <v>531</v>
      </c>
      <c r="E73" s="18" t="n">
        <v>71.22346629</v>
      </c>
      <c r="F73" s="20" t="n">
        <v>2.19396219</v>
      </c>
      <c r="G73" s="18" t="n">
        <v>28.75714148</v>
      </c>
      <c r="H73" s="20" t="n">
        <v>2.19377563</v>
      </c>
      <c r="I73" s="18" t="s">
        <v>349</v>
      </c>
      <c r="J73" s="20" t="s">
        <v>349</v>
      </c>
      <c r="K73" s="18" t="n">
        <v>0.01939223</v>
      </c>
      <c r="L73" s="20" t="n">
        <v>0.01209062</v>
      </c>
      <c r="M73" s="18" t="n">
        <v>0</v>
      </c>
      <c r="N73" s="20" t="n">
        <v>0</v>
      </c>
      <c r="O73" s="18" t="n">
        <v>0</v>
      </c>
      <c r="P73" s="20" t="n">
        <v>0</v>
      </c>
      <c r="Q73" s="18" t="n">
        <v>0</v>
      </c>
      <c r="R73" s="20" t="n">
        <v>0</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(2632.0/B75*100)</f>
        <v/>
      </c>
      <c r="D75" s="19" t="n">
        <v>337</v>
      </c>
      <c r="E75" s="18" t="n">
        <v>58.88538461</v>
      </c>
      <c r="F75" s="20" t="n">
        <v>2.74813057</v>
      </c>
      <c r="G75" s="18" t="n">
        <v>32.29470168</v>
      </c>
      <c r="H75" s="20" t="n">
        <v>2.90700106</v>
      </c>
      <c r="I75" s="18" t="s">
        <v>349</v>
      </c>
      <c r="J75" s="20" t="s">
        <v>349</v>
      </c>
      <c r="K75" s="18" t="n">
        <v>8.81991371</v>
      </c>
      <c r="L75" s="20" t="n">
        <v>1.56193508</v>
      </c>
      <c r="M75" s="18" t="n">
        <v>0</v>
      </c>
      <c r="N75" s="20" t="n">
        <v>0</v>
      </c>
      <c r="O75" s="18" t="n">
        <v>0</v>
      </c>
      <c r="P75" s="20" t="n">
        <v>0</v>
      </c>
      <c r="Q75" s="18" t="n">
        <v>0</v>
      </c>
      <c r="R75" s="20" t="n">
        <v>0</v>
      </c>
    </row>
    <row r="76" spans="1:18">
      <c r="A76" s="15" t="s">
        <v>418</v>
      </c>
      <c r="B76" s="17" t="n">
        <v>7115</v>
      </c>
      <c r="C76" s="18">
        <f>(6236.0/B76*100)</f>
        <v/>
      </c>
      <c r="D76" s="19" t="n">
        <v>879</v>
      </c>
      <c r="E76" s="18" t="n">
        <v>61.85083838</v>
      </c>
      <c r="F76" s="20" t="n">
        <v>2.19021721</v>
      </c>
      <c r="G76" s="18" t="n">
        <v>36.24855446</v>
      </c>
      <c r="H76" s="20" t="n">
        <v>2.12729624</v>
      </c>
      <c r="I76" s="18" t="s">
        <v>349</v>
      </c>
      <c r="J76" s="20" t="s">
        <v>349</v>
      </c>
      <c r="K76" s="18" t="n">
        <v>1.90060715</v>
      </c>
      <c r="L76" s="20" t="n">
        <v>0.54012759</v>
      </c>
      <c r="M76" s="18" t="n">
        <v>0</v>
      </c>
      <c r="N76" s="20" t="n">
        <v>0</v>
      </c>
      <c r="O76" s="18" t="n">
        <v>0</v>
      </c>
      <c r="P76" s="20" t="n">
        <v>0</v>
      </c>
      <c r="Q76" s="18" t="n">
        <v>0</v>
      </c>
      <c r="R76" s="20" t="n">
        <v>0</v>
      </c>
    </row>
    <row r="77" spans="1:18">
      <c r="A77" s="15" t="s">
        <v>419</v>
      </c>
      <c r="B77" s="17" t="n">
        <v>3154</v>
      </c>
      <c r="C77" s="18">
        <f>(2780.0/B77*100)</f>
        <v/>
      </c>
      <c r="D77" s="19" t="n">
        <v>374</v>
      </c>
      <c r="E77" s="18" t="n">
        <v>61.15718217</v>
      </c>
      <c r="F77" s="20" t="n">
        <v>2.09659666</v>
      </c>
      <c r="G77" s="18" t="n">
        <v>32.0412994</v>
      </c>
      <c r="H77" s="20" t="n">
        <v>2.19143261</v>
      </c>
      <c r="I77" s="18" t="s">
        <v>349</v>
      </c>
      <c r="J77" s="20" t="s">
        <v>349</v>
      </c>
      <c r="K77" s="18" t="n">
        <v>6.80151843</v>
      </c>
      <c r="L77" s="20" t="n">
        <v>1.26779618</v>
      </c>
      <c r="M77" s="18" t="n">
        <v>0</v>
      </c>
      <c r="N77" s="20" t="n">
        <v>0</v>
      </c>
      <c r="O77" s="18" t="n">
        <v>0</v>
      </c>
      <c r="P77" s="20" t="n">
        <v>0</v>
      </c>
      <c r="Q77" s="18" t="n">
        <v>0</v>
      </c>
      <c r="R77" s="20" t="n">
        <v>0</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(4107.0/B81*100)</f>
        <v/>
      </c>
      <c r="D81" s="19" t="n">
        <v>591</v>
      </c>
      <c r="E81" s="18" t="n">
        <v>64.40786488000001</v>
      </c>
      <c r="F81" s="20" t="n">
        <v>2.40616156</v>
      </c>
      <c r="G81" s="18" t="n">
        <v>35.22884554</v>
      </c>
      <c r="H81" s="20" t="n">
        <v>2.39646392</v>
      </c>
      <c r="I81" s="18" t="s">
        <v>349</v>
      </c>
      <c r="J81" s="20" t="s">
        <v>349</v>
      </c>
      <c r="K81" s="18" t="n">
        <v>0.36328958</v>
      </c>
      <c r="L81" s="20" t="n">
        <v>0.28833929</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(6284.0/B7*100)</f>
        <v/>
      </c>
      <c r="D7" s="19" t="n">
        <v>879</v>
      </c>
      <c r="E7" s="18" t="n">
        <v>26.35292029</v>
      </c>
      <c r="F7" s="20" t="n">
        <v>1.71337283</v>
      </c>
      <c r="G7" s="18" t="n">
        <v>73.24231011000001</v>
      </c>
      <c r="H7" s="20" t="n">
        <v>1.70547333</v>
      </c>
      <c r="I7" s="18" t="s">
        <v>349</v>
      </c>
      <c r="J7" s="20" t="s">
        <v>349</v>
      </c>
      <c r="K7" s="18" t="n">
        <v>0.11631675</v>
      </c>
      <c r="L7" s="20" t="n">
        <v>0.08549097999999999</v>
      </c>
      <c r="M7" s="18" t="n">
        <v>0</v>
      </c>
      <c r="N7" s="20" t="n">
        <v>0</v>
      </c>
      <c r="O7" s="18" t="n">
        <v>0</v>
      </c>
      <c r="P7" s="20" t="n">
        <v>0</v>
      </c>
      <c r="Q7" s="18" t="n">
        <v>0.28845285</v>
      </c>
      <c r="R7" s="20" t="n">
        <v>0.13741783</v>
      </c>
    </row>
    <row r="8" spans="1:18">
      <c r="A8" s="15" t="s">
        <v>350</v>
      </c>
      <c r="B8" s="17" t="n">
        <v>3443</v>
      </c>
      <c r="C8" s="18">
        <f>(3012.0/B8*100)</f>
        <v/>
      </c>
      <c r="D8" s="19" t="n">
        <v>431</v>
      </c>
      <c r="E8" s="18" t="n">
        <v>26.67052691</v>
      </c>
      <c r="F8" s="20" t="n">
        <v>2.44050778</v>
      </c>
      <c r="G8" s="18" t="n">
        <v>72.42226624</v>
      </c>
      <c r="H8" s="20" t="n">
        <v>2.5091621</v>
      </c>
      <c r="I8" s="18" t="s">
        <v>349</v>
      </c>
      <c r="J8" s="20" t="s">
        <v>349</v>
      </c>
      <c r="K8" s="18" t="n">
        <v>0</v>
      </c>
      <c r="L8" s="20" t="n">
        <v>0</v>
      </c>
      <c r="M8" s="18" t="n">
        <v>0</v>
      </c>
      <c r="N8" s="20" t="n">
        <v>0</v>
      </c>
      <c r="O8" s="18" t="n">
        <v>0</v>
      </c>
      <c r="P8" s="20" t="n">
        <v>0</v>
      </c>
      <c r="Q8" s="18" t="n">
        <v>0.90720684</v>
      </c>
      <c r="R8" s="20" t="n">
        <v>0.64931345</v>
      </c>
    </row>
    <row r="9" spans="1:18">
      <c r="A9" s="15" t="s">
        <v>351</v>
      </c>
      <c r="B9" s="17" t="n">
        <v>4752</v>
      </c>
      <c r="C9" s="18">
        <f>(4164.0/B9*100)</f>
        <v/>
      </c>
      <c r="D9" s="19" t="n">
        <v>588</v>
      </c>
      <c r="E9" s="18" t="n">
        <v>23.47708323</v>
      </c>
      <c r="F9" s="20" t="n">
        <v>1.73011653</v>
      </c>
      <c r="G9" s="18" t="n">
        <v>75.97444142000001</v>
      </c>
      <c r="H9" s="20" t="n">
        <v>1.7001231</v>
      </c>
      <c r="I9" s="18" t="s">
        <v>349</v>
      </c>
      <c r="J9" s="20" t="s">
        <v>349</v>
      </c>
      <c r="K9" s="18" t="n">
        <v>0.18824421</v>
      </c>
      <c r="L9" s="20" t="n">
        <v>0.19508624</v>
      </c>
      <c r="M9" s="18" t="n">
        <v>0</v>
      </c>
      <c r="N9" s="20" t="n">
        <v>0</v>
      </c>
      <c r="O9" s="18" t="n">
        <v>0</v>
      </c>
      <c r="P9" s="20" t="n">
        <v>0</v>
      </c>
      <c r="Q9" s="18" t="n">
        <v>0.36023114</v>
      </c>
      <c r="R9" s="20" t="n">
        <v>0.29092265</v>
      </c>
    </row>
    <row r="10" spans="1:18">
      <c r="A10" s="15" t="s">
        <v>352</v>
      </c>
      <c r="B10" s="17" t="n">
        <v>10022</v>
      </c>
      <c r="C10" s="18">
        <f>(8794.0/B10*100)</f>
        <v/>
      </c>
      <c r="D10" s="19" t="n">
        <v>1228</v>
      </c>
      <c r="E10" s="18" t="n">
        <v>27.22720941</v>
      </c>
      <c r="F10" s="20" t="n">
        <v>1.86664098</v>
      </c>
      <c r="G10" s="18" t="n">
        <v>72.18725434</v>
      </c>
      <c r="H10" s="20" t="n">
        <v>1.79570547</v>
      </c>
      <c r="I10" s="18" t="s">
        <v>349</v>
      </c>
      <c r="J10" s="20" t="s">
        <v>349</v>
      </c>
      <c r="K10" s="18" t="n">
        <v>0.21613711</v>
      </c>
      <c r="L10" s="20" t="n">
        <v>0.21986074</v>
      </c>
      <c r="M10" s="18" t="n">
        <v>0</v>
      </c>
      <c r="N10" s="20" t="n">
        <v>0</v>
      </c>
      <c r="O10" s="18" t="n">
        <v>0</v>
      </c>
      <c r="P10" s="20" t="n">
        <v>0</v>
      </c>
      <c r="Q10" s="18" t="n">
        <v>0.36939913</v>
      </c>
      <c r="R10" s="20" t="n">
        <v>0.24397996</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(3008.0/B12*100)</f>
        <v/>
      </c>
      <c r="D12" s="19" t="n">
        <v>414</v>
      </c>
      <c r="E12" s="18" t="n">
        <v>27.75294318</v>
      </c>
      <c r="F12" s="20" t="n">
        <v>2.57954921</v>
      </c>
      <c r="G12" s="18" t="n">
        <v>72.01958159</v>
      </c>
      <c r="H12" s="20" t="n">
        <v>2.55166302</v>
      </c>
      <c r="I12" s="18" t="s">
        <v>349</v>
      </c>
      <c r="J12" s="20" t="s">
        <v>349</v>
      </c>
      <c r="K12" s="18" t="n">
        <v>0</v>
      </c>
      <c r="L12" s="20" t="n">
        <v>0</v>
      </c>
      <c r="M12" s="18" t="n">
        <v>0</v>
      </c>
      <c r="N12" s="20" t="n">
        <v>0</v>
      </c>
      <c r="O12" s="18" t="n">
        <v>0</v>
      </c>
      <c r="P12" s="20" t="n">
        <v>0</v>
      </c>
      <c r="Q12" s="18" t="n">
        <v>0.22747523</v>
      </c>
      <c r="R12" s="20" t="n">
        <v>0.238864</v>
      </c>
    </row>
    <row r="13" spans="1:18">
      <c r="A13" s="15" t="s">
        <v>355</v>
      </c>
      <c r="B13" s="17" t="n">
        <v>3602</v>
      </c>
      <c r="C13" s="18">
        <f>(3184.0/B13*100)</f>
        <v/>
      </c>
      <c r="D13" s="19" t="n">
        <v>418</v>
      </c>
      <c r="E13" s="18" t="n">
        <v>21.19539676</v>
      </c>
      <c r="F13" s="20" t="n">
        <v>2.45556306</v>
      </c>
      <c r="G13" s="18" t="n">
        <v>77.94707517000001</v>
      </c>
      <c r="H13" s="20" t="n">
        <v>2.53316094</v>
      </c>
      <c r="I13" s="18" t="s">
        <v>349</v>
      </c>
      <c r="J13" s="20" t="s">
        <v>349</v>
      </c>
      <c r="K13" s="18" t="n">
        <v>0</v>
      </c>
      <c r="L13" s="20" t="n">
        <v>0</v>
      </c>
      <c r="M13" s="18" t="n">
        <v>0</v>
      </c>
      <c r="N13" s="20" t="n">
        <v>0</v>
      </c>
      <c r="O13" s="18" t="n">
        <v>0</v>
      </c>
      <c r="P13" s="20" t="n">
        <v>0</v>
      </c>
      <c r="Q13" s="18" t="n">
        <v>0.85752808</v>
      </c>
      <c r="R13" s="20" t="n">
        <v>0.39349289</v>
      </c>
    </row>
    <row r="14" spans="1:18">
      <c r="A14" s="15" t="s">
        <v>356</v>
      </c>
      <c r="B14" s="17" t="n">
        <v>2788</v>
      </c>
      <c r="C14" s="18">
        <f>(2453.0/B14*100)</f>
        <v/>
      </c>
      <c r="D14" s="19" t="n">
        <v>335</v>
      </c>
      <c r="E14" s="18" t="n">
        <v>23.8809227</v>
      </c>
      <c r="F14" s="20" t="n">
        <v>2.43009859</v>
      </c>
      <c r="G14" s="18" t="n">
        <v>75.86453724</v>
      </c>
      <c r="H14" s="20" t="n">
        <v>2.42863319</v>
      </c>
      <c r="I14" s="18" t="s">
        <v>349</v>
      </c>
      <c r="J14" s="20" t="s">
        <v>349</v>
      </c>
      <c r="K14" s="18" t="n">
        <v>0</v>
      </c>
      <c r="L14" s="20" t="n">
        <v>0</v>
      </c>
      <c r="M14" s="18" t="n">
        <v>0</v>
      </c>
      <c r="N14" s="20" t="n">
        <v>0</v>
      </c>
      <c r="O14" s="18" t="n">
        <v>0</v>
      </c>
      <c r="P14" s="20" t="n">
        <v>0</v>
      </c>
      <c r="Q14" s="18" t="n">
        <v>0.25454006</v>
      </c>
      <c r="R14" s="20" t="n">
        <v>0.25325705</v>
      </c>
    </row>
    <row r="15" spans="1:18">
      <c r="A15" s="15" t="s">
        <v>357</v>
      </c>
      <c r="B15" s="17" t="n">
        <v>2863</v>
      </c>
      <c r="C15" s="18">
        <f>(2512.0/B15*100)</f>
        <v/>
      </c>
      <c r="D15" s="19" t="n">
        <v>351</v>
      </c>
      <c r="E15" s="18" t="n">
        <v>20.52559047</v>
      </c>
      <c r="F15" s="20" t="n">
        <v>2.11313429</v>
      </c>
      <c r="G15" s="18" t="n">
        <v>79.19459247</v>
      </c>
      <c r="H15" s="20" t="n">
        <v>2.12706764</v>
      </c>
      <c r="I15" s="18" t="s">
        <v>349</v>
      </c>
      <c r="J15" s="20" t="s">
        <v>349</v>
      </c>
      <c r="K15" s="18" t="n">
        <v>0.27981706</v>
      </c>
      <c r="L15" s="20" t="n">
        <v>0.27395819</v>
      </c>
      <c r="M15" s="18" t="n">
        <v>0</v>
      </c>
      <c r="N15" s="20" t="n">
        <v>0</v>
      </c>
      <c r="O15" s="18" t="n">
        <v>0</v>
      </c>
      <c r="P15" s="20" t="n">
        <v>0</v>
      </c>
      <c r="Q15" s="18" t="n">
        <v>0</v>
      </c>
      <c r="R15" s="20" t="n">
        <v>0</v>
      </c>
    </row>
    <row r="16" spans="1:18">
      <c r="A16" s="15" t="s">
        <v>358</v>
      </c>
      <c r="B16" s="17" t="n">
        <v>3111</v>
      </c>
      <c r="C16" s="18">
        <f>(2735.0/B16*100)</f>
        <v/>
      </c>
      <c r="D16" s="19" t="n">
        <v>376</v>
      </c>
      <c r="E16" s="18" t="n">
        <v>21.89563092</v>
      </c>
      <c r="F16" s="20" t="n">
        <v>1.9858393</v>
      </c>
      <c r="G16" s="18" t="n">
        <v>76.50316488999999</v>
      </c>
      <c r="H16" s="20" t="n">
        <v>1.99594352</v>
      </c>
      <c r="I16" s="18" t="s">
        <v>349</v>
      </c>
      <c r="J16" s="20" t="s">
        <v>349</v>
      </c>
      <c r="K16" s="18" t="n">
        <v>0</v>
      </c>
      <c r="L16" s="20" t="n">
        <v>0</v>
      </c>
      <c r="M16" s="18" t="n">
        <v>0</v>
      </c>
      <c r="N16" s="20" t="n">
        <v>0</v>
      </c>
      <c r="O16" s="18" t="n">
        <v>0</v>
      </c>
      <c r="P16" s="20" t="n">
        <v>0</v>
      </c>
      <c r="Q16" s="18" t="n">
        <v>1.60120418</v>
      </c>
      <c r="R16" s="20" t="n">
        <v>0.63157367</v>
      </c>
    </row>
    <row r="17" spans="1:18">
      <c r="A17" s="15" t="s">
        <v>359</v>
      </c>
      <c r="B17" s="17" t="n">
        <v>3197</v>
      </c>
      <c r="C17" s="18">
        <f>(2792.0/B17*100)</f>
        <v/>
      </c>
      <c r="D17" s="19" t="n">
        <v>405</v>
      </c>
      <c r="E17" s="18" t="n">
        <v>22.95648901</v>
      </c>
      <c r="F17" s="20" t="n">
        <v>2.35413947</v>
      </c>
      <c r="G17" s="18" t="n">
        <v>75.45674467000001</v>
      </c>
      <c r="H17" s="20" t="n">
        <v>2.41533893</v>
      </c>
      <c r="I17" s="18" t="s">
        <v>349</v>
      </c>
      <c r="J17" s="20" t="s">
        <v>349</v>
      </c>
      <c r="K17" s="18" t="n">
        <v>0.53496455</v>
      </c>
      <c r="L17" s="20" t="n">
        <v>0.37572872</v>
      </c>
      <c r="M17" s="18" t="n">
        <v>0</v>
      </c>
      <c r="N17" s="20" t="n">
        <v>0</v>
      </c>
      <c r="O17" s="18" t="n">
        <v>0</v>
      </c>
      <c r="P17" s="20" t="n">
        <v>0</v>
      </c>
      <c r="Q17" s="18" t="n">
        <v>1.05180177</v>
      </c>
      <c r="R17" s="20" t="n">
        <v>0.4774495</v>
      </c>
    </row>
    <row r="18" spans="1:18">
      <c r="A18" s="15" t="s">
        <v>360</v>
      </c>
      <c r="B18" s="17" t="n">
        <v>2706</v>
      </c>
      <c r="C18" s="18">
        <f>(2390.0/B18*100)</f>
        <v/>
      </c>
      <c r="D18" s="19" t="n">
        <v>316</v>
      </c>
      <c r="E18" s="18" t="n">
        <v>27.58584276</v>
      </c>
      <c r="F18" s="20" t="n">
        <v>2.78927393</v>
      </c>
      <c r="G18" s="18" t="n">
        <v>70.80268266</v>
      </c>
      <c r="H18" s="20" t="n">
        <v>2.89681363</v>
      </c>
      <c r="I18" s="18" t="s">
        <v>349</v>
      </c>
      <c r="J18" s="20" t="s">
        <v>349</v>
      </c>
      <c r="K18" s="18" t="n">
        <v>0.84167168</v>
      </c>
      <c r="L18" s="20" t="n">
        <v>0.8418707600000001</v>
      </c>
      <c r="M18" s="18" t="n">
        <v>0</v>
      </c>
      <c r="N18" s="20" t="n">
        <v>0</v>
      </c>
      <c r="O18" s="18" t="n">
        <v>0</v>
      </c>
      <c r="P18" s="20" t="n">
        <v>0</v>
      </c>
      <c r="Q18" s="18" t="n">
        <v>0.76980289</v>
      </c>
      <c r="R18" s="20" t="n">
        <v>0.56050867</v>
      </c>
    </row>
    <row r="19" spans="1:18">
      <c r="A19" s="15" t="s">
        <v>361</v>
      </c>
      <c r="B19" s="17" t="n">
        <v>2850</v>
      </c>
      <c r="C19" s="18">
        <f>(2511.0/B19*100)</f>
        <v/>
      </c>
      <c r="D19" s="19" t="n">
        <v>339</v>
      </c>
      <c r="E19" s="18" t="n">
        <v>34.82802183</v>
      </c>
      <c r="F19" s="20" t="n">
        <v>2.65197906</v>
      </c>
      <c r="G19" s="18" t="n">
        <v>64.53706323</v>
      </c>
      <c r="H19" s="20" t="n">
        <v>2.69870771</v>
      </c>
      <c r="I19" s="18" t="s">
        <v>349</v>
      </c>
      <c r="J19" s="20" t="s">
        <v>349</v>
      </c>
      <c r="K19" s="18" t="n">
        <v>0</v>
      </c>
      <c r="L19" s="20" t="n">
        <v>0</v>
      </c>
      <c r="M19" s="18" t="n">
        <v>0</v>
      </c>
      <c r="N19" s="20" t="n">
        <v>0</v>
      </c>
      <c r="O19" s="18" t="n">
        <v>0</v>
      </c>
      <c r="P19" s="20" t="n">
        <v>0</v>
      </c>
      <c r="Q19" s="18" t="n">
        <v>0.63491494</v>
      </c>
      <c r="R19" s="20" t="n">
        <v>0.52306875</v>
      </c>
    </row>
    <row r="20" spans="1:18">
      <c r="A20" s="15" t="s">
        <v>362</v>
      </c>
      <c r="B20" s="17" t="n">
        <v>1741</v>
      </c>
      <c r="C20" s="18">
        <f>(1522.0/B20*100)</f>
        <v/>
      </c>
      <c r="D20" s="19" t="n">
        <v>219</v>
      </c>
      <c r="E20" s="18" t="n">
        <v>22.63821843</v>
      </c>
      <c r="F20" s="20" t="n">
        <v>3.15333128</v>
      </c>
      <c r="G20" s="18" t="n">
        <v>76.83240139</v>
      </c>
      <c r="H20" s="20" t="n">
        <v>3.18609905</v>
      </c>
      <c r="I20" s="18" t="s">
        <v>349</v>
      </c>
      <c r="J20" s="20" t="s">
        <v>349</v>
      </c>
      <c r="K20" s="18" t="n">
        <v>0.52938018</v>
      </c>
      <c r="L20" s="20" t="n">
        <v>0.51837039</v>
      </c>
      <c r="M20" s="18" t="n">
        <v>0</v>
      </c>
      <c r="N20" s="20" t="n">
        <v>0</v>
      </c>
      <c r="O20" s="18" t="n">
        <v>0</v>
      </c>
      <c r="P20" s="20" t="n">
        <v>0</v>
      </c>
      <c r="Q20" s="18" t="n">
        <v>0</v>
      </c>
      <c r="R20" s="20" t="n">
        <v>0</v>
      </c>
    </row>
    <row r="21" spans="1:18">
      <c r="A21" s="15" t="s">
        <v>363</v>
      </c>
      <c r="B21" s="17" t="n">
        <v>2833</v>
      </c>
      <c r="C21" s="18">
        <f>(2380.0/B21*100)</f>
        <v/>
      </c>
      <c r="D21" s="19" t="n">
        <v>453</v>
      </c>
      <c r="E21" s="18" t="n">
        <v>31.96754144</v>
      </c>
      <c r="F21" s="20" t="n">
        <v>1.90859872</v>
      </c>
      <c r="G21" s="18" t="n">
        <v>67.65802263</v>
      </c>
      <c r="H21" s="20" t="n">
        <v>1.94592112</v>
      </c>
      <c r="I21" s="18" t="s">
        <v>349</v>
      </c>
      <c r="J21" s="20" t="s">
        <v>349</v>
      </c>
      <c r="K21" s="18" t="n">
        <v>0.16175137</v>
      </c>
      <c r="L21" s="20" t="n">
        <v>0.16098564</v>
      </c>
      <c r="M21" s="18" t="n">
        <v>0</v>
      </c>
      <c r="N21" s="20" t="n">
        <v>0</v>
      </c>
      <c r="O21" s="18" t="n">
        <v>0</v>
      </c>
      <c r="P21" s="20" t="n">
        <v>0</v>
      </c>
      <c r="Q21" s="18" t="n">
        <v>0.21268455</v>
      </c>
      <c r="R21" s="20" t="n">
        <v>0.2114487</v>
      </c>
    </row>
    <row r="22" spans="1:18">
      <c r="A22" s="15" t="s">
        <v>364</v>
      </c>
      <c r="B22" s="17" t="n">
        <v>3667</v>
      </c>
      <c r="C22" s="18">
        <f>(3184.0/B22*100)</f>
        <v/>
      </c>
      <c r="D22" s="19" t="n">
        <v>483</v>
      </c>
      <c r="E22" s="18" t="n">
        <v>24.77826017</v>
      </c>
      <c r="F22" s="20" t="n">
        <v>1.74635687</v>
      </c>
      <c r="G22" s="18" t="n">
        <v>74.21005396</v>
      </c>
      <c r="H22" s="20" t="n">
        <v>1.83444097</v>
      </c>
      <c r="I22" s="18" t="s">
        <v>349</v>
      </c>
      <c r="J22" s="20" t="s">
        <v>349</v>
      </c>
      <c r="K22" s="18" t="n">
        <v>0</v>
      </c>
      <c r="L22" s="20" t="n">
        <v>0</v>
      </c>
      <c r="M22" s="18" t="n">
        <v>0</v>
      </c>
      <c r="N22" s="20" t="n">
        <v>0</v>
      </c>
      <c r="O22" s="18" t="n">
        <v>0</v>
      </c>
      <c r="P22" s="20" t="n">
        <v>0</v>
      </c>
      <c r="Q22" s="18" t="n">
        <v>1.01168588</v>
      </c>
      <c r="R22" s="20" t="n">
        <v>0.45872746</v>
      </c>
    </row>
    <row r="23" spans="1:18">
      <c r="A23" s="15" t="s">
        <v>365</v>
      </c>
      <c r="B23" s="17" t="n">
        <v>5792</v>
      </c>
      <c r="C23" s="18">
        <f>(5076.0/B23*100)</f>
        <v/>
      </c>
      <c r="D23" s="19" t="n">
        <v>716</v>
      </c>
      <c r="E23" s="18" t="n">
        <v>30.6573316</v>
      </c>
      <c r="F23" s="20" t="n">
        <v>2.51718752</v>
      </c>
      <c r="G23" s="18" t="n">
        <v>69.19377160000001</v>
      </c>
      <c r="H23" s="20" t="n">
        <v>2.528283</v>
      </c>
      <c r="I23" s="18" t="s">
        <v>349</v>
      </c>
      <c r="J23" s="20" t="s">
        <v>349</v>
      </c>
      <c r="K23" s="18" t="n">
        <v>0.14507178</v>
      </c>
      <c r="L23" s="20" t="n">
        <v>0.14765768</v>
      </c>
      <c r="M23" s="18" t="n">
        <v>0</v>
      </c>
      <c r="N23" s="20" t="n">
        <v>0</v>
      </c>
      <c r="O23" s="18" t="n">
        <v>0</v>
      </c>
      <c r="P23" s="20" t="n">
        <v>0</v>
      </c>
      <c r="Q23" s="18" t="n">
        <v>0.00382501</v>
      </c>
      <c r="R23" s="20" t="n">
        <v>0.00383917</v>
      </c>
    </row>
    <row r="24" spans="1:18">
      <c r="A24" s="15" t="s">
        <v>366</v>
      </c>
      <c r="B24" s="17" t="n">
        <v>3309</v>
      </c>
      <c r="C24" s="18">
        <f>(2931.0/B24*100)</f>
        <v/>
      </c>
      <c r="D24" s="19" t="n">
        <v>378</v>
      </c>
      <c r="E24" s="18" t="n">
        <v>17.32165287</v>
      </c>
      <c r="F24" s="20" t="n">
        <v>1.98045257</v>
      </c>
      <c r="G24" s="18" t="n">
        <v>82.44564393</v>
      </c>
      <c r="H24" s="20" t="n">
        <v>1.9774557</v>
      </c>
      <c r="I24" s="18" t="s">
        <v>349</v>
      </c>
      <c r="J24" s="20" t="s">
        <v>349</v>
      </c>
      <c r="K24" s="18" t="n">
        <v>0</v>
      </c>
      <c r="L24" s="20" t="n">
        <v>0</v>
      </c>
      <c r="M24" s="18" t="n">
        <v>0</v>
      </c>
      <c r="N24" s="20" t="n">
        <v>0</v>
      </c>
      <c r="O24" s="18" t="n">
        <v>0</v>
      </c>
      <c r="P24" s="20" t="n">
        <v>0</v>
      </c>
      <c r="Q24" s="18" t="n">
        <v>0.2327032</v>
      </c>
      <c r="R24" s="20" t="n">
        <v>0.23900139</v>
      </c>
    </row>
    <row r="25" spans="1:18">
      <c r="A25" s="15" t="s">
        <v>367</v>
      </c>
      <c r="B25" s="17" t="n">
        <v>2669</v>
      </c>
      <c r="C25" s="18">
        <f>(2360.0/B25*100)</f>
        <v/>
      </c>
      <c r="D25" s="19" t="n">
        <v>309</v>
      </c>
      <c r="E25" s="18" t="n">
        <v>20.26851948</v>
      </c>
      <c r="F25" s="20" t="n">
        <v>2.53866772</v>
      </c>
      <c r="G25" s="18" t="n">
        <v>79.08584285000001</v>
      </c>
      <c r="H25" s="20" t="n">
        <v>2.54798649</v>
      </c>
      <c r="I25" s="18" t="s">
        <v>349</v>
      </c>
      <c r="J25" s="20" t="s">
        <v>349</v>
      </c>
      <c r="K25" s="18" t="n">
        <v>0</v>
      </c>
      <c r="L25" s="20" t="n">
        <v>0</v>
      </c>
      <c r="M25" s="18" t="n">
        <v>0</v>
      </c>
      <c r="N25" s="20" t="n">
        <v>0</v>
      </c>
      <c r="O25" s="18" t="n">
        <v>0</v>
      </c>
      <c r="P25" s="20" t="n">
        <v>0</v>
      </c>
      <c r="Q25" s="18" t="n">
        <v>0.6456376700000001</v>
      </c>
      <c r="R25" s="20" t="n">
        <v>0.45526247</v>
      </c>
    </row>
    <row r="26" spans="1:18">
      <c r="A26" s="15" t="s">
        <v>368</v>
      </c>
      <c r="B26" s="17" t="n">
        <v>2419</v>
      </c>
      <c r="C26" s="18">
        <f>(2107.0/B26*100)</f>
        <v/>
      </c>
      <c r="D26" s="19" t="n">
        <v>312</v>
      </c>
      <c r="E26" s="18" t="n">
        <v>33.54869123</v>
      </c>
      <c r="F26" s="20" t="n">
        <v>2.94728004</v>
      </c>
      <c r="G26" s="18" t="n">
        <v>66.20340514999999</v>
      </c>
      <c r="H26" s="20" t="n">
        <v>2.94179497</v>
      </c>
      <c r="I26" s="18" t="s">
        <v>349</v>
      </c>
      <c r="J26" s="20" t="s">
        <v>349</v>
      </c>
      <c r="K26" s="18" t="n">
        <v>0</v>
      </c>
      <c r="L26" s="20" t="n">
        <v>0</v>
      </c>
      <c r="M26" s="18" t="n">
        <v>0</v>
      </c>
      <c r="N26" s="20" t="n">
        <v>0</v>
      </c>
      <c r="O26" s="18" t="n">
        <v>0</v>
      </c>
      <c r="P26" s="20" t="n">
        <v>0</v>
      </c>
      <c r="Q26" s="18" t="n">
        <v>0.24790362</v>
      </c>
      <c r="R26" s="20" t="n">
        <v>0.18533056</v>
      </c>
    </row>
    <row r="27" spans="1:18">
      <c r="A27" s="15" t="s">
        <v>369</v>
      </c>
      <c r="B27" s="17" t="n">
        <v>2683</v>
      </c>
      <c r="C27" s="18">
        <f>(2355.0/B27*100)</f>
        <v/>
      </c>
      <c r="D27" s="19" t="n">
        <v>328</v>
      </c>
      <c r="E27" s="18" t="n">
        <v>25.05879007</v>
      </c>
      <c r="F27" s="20" t="n">
        <v>2.46485584</v>
      </c>
      <c r="G27" s="18" t="n">
        <v>74.34855502000001</v>
      </c>
      <c r="H27" s="20" t="n">
        <v>2.48225134</v>
      </c>
      <c r="I27" s="18" t="s">
        <v>349</v>
      </c>
      <c r="J27" s="20" t="s">
        <v>349</v>
      </c>
      <c r="K27" s="18" t="n">
        <v>0</v>
      </c>
      <c r="L27" s="20" t="n">
        <v>0</v>
      </c>
      <c r="M27" s="18" t="n">
        <v>0</v>
      </c>
      <c r="N27" s="20" t="n">
        <v>0</v>
      </c>
      <c r="O27" s="18" t="n">
        <v>0</v>
      </c>
      <c r="P27" s="20" t="n">
        <v>0</v>
      </c>
      <c r="Q27" s="18" t="n">
        <v>0.59265491</v>
      </c>
      <c r="R27" s="20" t="n">
        <v>0.4193157</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(2376.0/B29*100)</f>
        <v/>
      </c>
      <c r="D29" s="19" t="n">
        <v>324</v>
      </c>
      <c r="E29" s="18" t="n">
        <v>18.3564225</v>
      </c>
      <c r="F29" s="20" t="n">
        <v>2.30299927</v>
      </c>
      <c r="G29" s="18" t="n">
        <v>80.66738605</v>
      </c>
      <c r="H29" s="20" t="n">
        <v>2.30908365</v>
      </c>
      <c r="I29" s="18" t="s">
        <v>349</v>
      </c>
      <c r="J29" s="20" t="s">
        <v>349</v>
      </c>
      <c r="K29" s="18" t="n">
        <v>0.6219956800000001</v>
      </c>
      <c r="L29" s="20" t="n">
        <v>0.42105081</v>
      </c>
      <c r="M29" s="18" t="n">
        <v>0</v>
      </c>
      <c r="N29" s="20" t="n">
        <v>0</v>
      </c>
      <c r="O29" s="18" t="n">
        <v>0</v>
      </c>
      <c r="P29" s="20" t="n">
        <v>0</v>
      </c>
      <c r="Q29" s="18" t="n">
        <v>0.35419577</v>
      </c>
      <c r="R29" s="20" t="n">
        <v>0.45523967</v>
      </c>
    </row>
    <row r="30" spans="1:18">
      <c r="A30" s="15" t="s">
        <v>372</v>
      </c>
      <c r="B30" s="17" t="n">
        <v>2257</v>
      </c>
      <c r="C30" s="18">
        <f>(1976.0/B30*100)</f>
        <v/>
      </c>
      <c r="D30" s="19" t="n">
        <v>281</v>
      </c>
      <c r="E30" s="18" t="n">
        <v>27.27290528</v>
      </c>
      <c r="F30" s="20" t="n">
        <v>2.85321309</v>
      </c>
      <c r="G30" s="18" t="n">
        <v>71.13257588</v>
      </c>
      <c r="H30" s="20" t="n">
        <v>2.83291866</v>
      </c>
      <c r="I30" s="18" t="s">
        <v>349</v>
      </c>
      <c r="J30" s="20" t="s">
        <v>349</v>
      </c>
      <c r="K30" s="18" t="n">
        <v>0</v>
      </c>
      <c r="L30" s="20" t="n">
        <v>0</v>
      </c>
      <c r="M30" s="18" t="n">
        <v>0</v>
      </c>
      <c r="N30" s="20" t="n">
        <v>0</v>
      </c>
      <c r="O30" s="18" t="n">
        <v>0</v>
      </c>
      <c r="P30" s="20" t="n">
        <v>0</v>
      </c>
      <c r="Q30" s="18" t="n">
        <v>1.59451885</v>
      </c>
      <c r="R30" s="20" t="n">
        <v>0.89706945</v>
      </c>
    </row>
    <row r="31" spans="1:18">
      <c r="A31" s="15" t="s">
        <v>373</v>
      </c>
      <c r="B31" s="17" t="n">
        <v>2706</v>
      </c>
      <c r="C31" s="18">
        <f>(2359.0/B31*100)</f>
        <v/>
      </c>
      <c r="D31" s="19" t="n">
        <v>347</v>
      </c>
      <c r="E31" s="18" t="n">
        <v>20.26796932</v>
      </c>
      <c r="F31" s="20" t="n">
        <v>2.1293293</v>
      </c>
      <c r="G31" s="18" t="n">
        <v>79.45428593</v>
      </c>
      <c r="H31" s="20" t="n">
        <v>2.15462087</v>
      </c>
      <c r="I31" s="18" t="s">
        <v>349</v>
      </c>
      <c r="J31" s="20" t="s">
        <v>349</v>
      </c>
      <c r="K31" s="18" t="n">
        <v>0.27774475</v>
      </c>
      <c r="L31" s="20" t="n">
        <v>0.27354714</v>
      </c>
      <c r="M31" s="18" t="n">
        <v>0</v>
      </c>
      <c r="N31" s="20" t="n">
        <v>0</v>
      </c>
      <c r="O31" s="18" t="n">
        <v>0</v>
      </c>
      <c r="P31" s="20" t="n">
        <v>0</v>
      </c>
      <c r="Q31" s="18" t="n">
        <v>0</v>
      </c>
      <c r="R31" s="20" t="n">
        <v>0</v>
      </c>
    </row>
    <row r="32" spans="1:18">
      <c r="A32" s="15" t="s">
        <v>374</v>
      </c>
      <c r="B32" s="17" t="n">
        <v>2209</v>
      </c>
      <c r="C32" s="18">
        <f>(1833.0/B32*100)</f>
        <v/>
      </c>
      <c r="D32" s="19" t="n">
        <v>376</v>
      </c>
      <c r="E32" s="18" t="n">
        <v>24.23724604</v>
      </c>
      <c r="F32" s="20" t="n">
        <v>2.21785041</v>
      </c>
      <c r="G32" s="18" t="n">
        <v>75.05762258999999</v>
      </c>
      <c r="H32" s="20" t="n">
        <v>2.25417651</v>
      </c>
      <c r="I32" s="18" t="s">
        <v>349</v>
      </c>
      <c r="J32" s="20" t="s">
        <v>349</v>
      </c>
      <c r="K32" s="18" t="n">
        <v>0.27017343</v>
      </c>
      <c r="L32" s="20" t="n">
        <v>0.26940679</v>
      </c>
      <c r="M32" s="18" t="n">
        <v>0</v>
      </c>
      <c r="N32" s="20" t="n">
        <v>0</v>
      </c>
      <c r="O32" s="18" t="n">
        <v>0</v>
      </c>
      <c r="P32" s="20" t="n">
        <v>0</v>
      </c>
      <c r="Q32" s="18" t="n">
        <v>0.43495794</v>
      </c>
      <c r="R32" s="20" t="n">
        <v>0.44284338</v>
      </c>
    </row>
    <row r="33" spans="1:18">
      <c r="A33" s="15" t="s">
        <v>375</v>
      </c>
      <c r="B33" s="17" t="n">
        <v>3651</v>
      </c>
      <c r="C33" s="18">
        <f>(3202.0/B33*100)</f>
        <v/>
      </c>
      <c r="D33" s="19" t="n">
        <v>449</v>
      </c>
      <c r="E33" s="18" t="n">
        <v>29.54819815</v>
      </c>
      <c r="F33" s="20" t="n">
        <v>2.26579803</v>
      </c>
      <c r="G33" s="18" t="n">
        <v>69.96181906</v>
      </c>
      <c r="H33" s="20" t="n">
        <v>2.29784325</v>
      </c>
      <c r="I33" s="18" t="s">
        <v>349</v>
      </c>
      <c r="J33" s="20" t="s">
        <v>349</v>
      </c>
      <c r="K33" s="18" t="n">
        <v>0</v>
      </c>
      <c r="L33" s="20" t="n">
        <v>0</v>
      </c>
      <c r="M33" s="18" t="n">
        <v>0</v>
      </c>
      <c r="N33" s="20" t="n">
        <v>0</v>
      </c>
      <c r="O33" s="18" t="n">
        <v>0</v>
      </c>
      <c r="P33" s="20" t="n">
        <v>0</v>
      </c>
      <c r="Q33" s="18" t="n">
        <v>0.48998279</v>
      </c>
      <c r="R33" s="20" t="n">
        <v>0.43168261</v>
      </c>
    </row>
    <row r="34" spans="1:18">
      <c r="A34" s="15" t="s">
        <v>376</v>
      </c>
      <c r="B34" s="17" t="n">
        <v>3035</v>
      </c>
      <c r="C34" s="18">
        <f>(2643.0/B34*100)</f>
        <v/>
      </c>
      <c r="D34" s="19" t="n">
        <v>392</v>
      </c>
      <c r="E34" s="18" t="n">
        <v>28.02847665</v>
      </c>
      <c r="F34" s="20" t="n">
        <v>2.55416706</v>
      </c>
      <c r="G34" s="18" t="n">
        <v>70.71486385999999</v>
      </c>
      <c r="H34" s="20" t="n">
        <v>2.57925441</v>
      </c>
      <c r="I34" s="18" t="s">
        <v>349</v>
      </c>
      <c r="J34" s="20" t="s">
        <v>349</v>
      </c>
      <c r="K34" s="18" t="n">
        <v>0.22045964</v>
      </c>
      <c r="L34" s="20" t="n">
        <v>0.22996087</v>
      </c>
      <c r="M34" s="18" t="n">
        <v>0</v>
      </c>
      <c r="N34" s="20" t="n">
        <v>0</v>
      </c>
      <c r="O34" s="18" t="n">
        <v>0</v>
      </c>
      <c r="P34" s="20" t="n">
        <v>0</v>
      </c>
      <c r="Q34" s="18" t="n">
        <v>1.03619985</v>
      </c>
      <c r="R34" s="20" t="n">
        <v>0.66433413</v>
      </c>
    </row>
    <row r="35" spans="1:18">
      <c r="A35" s="15" t="s">
        <v>377</v>
      </c>
      <c r="B35" s="17" t="n">
        <v>2901</v>
      </c>
      <c r="C35" s="18">
        <f>(2532.0/B35*100)</f>
        <v/>
      </c>
      <c r="D35" s="19" t="n">
        <v>369</v>
      </c>
      <c r="E35" s="18" t="n">
        <v>25.05708506</v>
      </c>
      <c r="F35" s="20" t="n">
        <v>2.69252318</v>
      </c>
      <c r="G35" s="18" t="n">
        <v>74.8428706</v>
      </c>
      <c r="H35" s="20" t="n">
        <v>2.70050076</v>
      </c>
      <c r="I35" s="18" t="s">
        <v>349</v>
      </c>
      <c r="J35" s="20" t="s">
        <v>349</v>
      </c>
      <c r="K35" s="18" t="n">
        <v>0</v>
      </c>
      <c r="L35" s="20" t="n">
        <v>0</v>
      </c>
      <c r="M35" s="18" t="n">
        <v>0</v>
      </c>
      <c r="N35" s="20" t="n">
        <v>0</v>
      </c>
      <c r="O35" s="18" t="n">
        <v>0</v>
      </c>
      <c r="P35" s="20" t="n">
        <v>0</v>
      </c>
      <c r="Q35" s="18" t="n">
        <v>0.10004434</v>
      </c>
      <c r="R35" s="20" t="n">
        <v>0.10328926</v>
      </c>
    </row>
    <row r="36" spans="1:18">
      <c r="A36" s="15" t="s">
        <v>378</v>
      </c>
      <c r="B36" s="17" t="n">
        <v>3404</v>
      </c>
      <c r="C36" s="18">
        <f>(2990.0/B36*100)</f>
        <v/>
      </c>
      <c r="D36" s="19" t="n">
        <v>414</v>
      </c>
      <c r="E36" s="18" t="n">
        <v>23.80601191</v>
      </c>
      <c r="F36" s="20" t="n">
        <v>2.30980556</v>
      </c>
      <c r="G36" s="18" t="n">
        <v>75.82915282</v>
      </c>
      <c r="H36" s="20" t="n">
        <v>2.31509257</v>
      </c>
      <c r="I36" s="18" t="s">
        <v>349</v>
      </c>
      <c r="J36" s="20" t="s">
        <v>349</v>
      </c>
      <c r="K36" s="18" t="n">
        <v>0.36483527</v>
      </c>
      <c r="L36" s="20" t="n">
        <v>0.36954918</v>
      </c>
      <c r="M36" s="18" t="n">
        <v>0</v>
      </c>
      <c r="N36" s="20" t="n">
        <v>0</v>
      </c>
      <c r="O36" s="18" t="n">
        <v>0</v>
      </c>
      <c r="P36" s="20" t="n">
        <v>0</v>
      </c>
      <c r="Q36" s="18" t="n">
        <v>0</v>
      </c>
      <c r="R36" s="20" t="n">
        <v>0</v>
      </c>
    </row>
    <row r="37" spans="1:18">
      <c r="A37" s="15" t="s">
        <v>379</v>
      </c>
      <c r="B37" s="17" t="n">
        <v>2731</v>
      </c>
      <c r="C37" s="18">
        <f>(2397.0/B37*100)</f>
        <v/>
      </c>
      <c r="D37" s="19" t="n">
        <v>334</v>
      </c>
      <c r="E37" s="18" t="n">
        <v>26.50165922</v>
      </c>
      <c r="F37" s="20" t="n">
        <v>2.40674726</v>
      </c>
      <c r="G37" s="18" t="n">
        <v>71.58598938</v>
      </c>
      <c r="H37" s="20" t="n">
        <v>2.44693881</v>
      </c>
      <c r="I37" s="18" t="s">
        <v>349</v>
      </c>
      <c r="J37" s="20" t="s">
        <v>349</v>
      </c>
      <c r="K37" s="18" t="n">
        <v>0</v>
      </c>
      <c r="L37" s="20" t="n">
        <v>0</v>
      </c>
      <c r="M37" s="18" t="n">
        <v>0</v>
      </c>
      <c r="N37" s="20" t="n">
        <v>0</v>
      </c>
      <c r="O37" s="18" t="n">
        <v>0</v>
      </c>
      <c r="P37" s="20" t="n">
        <v>0</v>
      </c>
      <c r="Q37" s="18" t="n">
        <v>1.9123514</v>
      </c>
      <c r="R37" s="20" t="n">
        <v>0.97212734</v>
      </c>
    </row>
    <row r="38" spans="1:18">
      <c r="A38" s="15" t="s">
        <v>380</v>
      </c>
      <c r="B38" s="17" t="n">
        <v>2807</v>
      </c>
      <c r="C38" s="18">
        <f>(2354.0/B38*100)</f>
        <v/>
      </c>
      <c r="D38" s="19" t="n">
        <v>453</v>
      </c>
      <c r="E38" s="18" t="n">
        <v>23.50804443</v>
      </c>
      <c r="F38" s="20" t="n">
        <v>2.48171558</v>
      </c>
      <c r="G38" s="18" t="n">
        <v>76.20511877</v>
      </c>
      <c r="H38" s="20" t="n">
        <v>2.45792116</v>
      </c>
      <c r="I38" s="18" t="s">
        <v>349</v>
      </c>
      <c r="J38" s="20" t="s">
        <v>349</v>
      </c>
      <c r="K38" s="18" t="n">
        <v>0</v>
      </c>
      <c r="L38" s="20" t="n">
        <v>0</v>
      </c>
      <c r="M38" s="18" t="n">
        <v>0</v>
      </c>
      <c r="N38" s="20" t="n">
        <v>0</v>
      </c>
      <c r="O38" s="18" t="n">
        <v>0</v>
      </c>
      <c r="P38" s="20" t="n">
        <v>0</v>
      </c>
      <c r="Q38" s="18" t="n">
        <v>0.2868368</v>
      </c>
      <c r="R38" s="20" t="n">
        <v>0.28810815</v>
      </c>
    </row>
    <row r="39" spans="1:18">
      <c r="A39" s="15" t="s">
        <v>381</v>
      </c>
      <c r="B39" s="17" t="n">
        <v>2938</v>
      </c>
      <c r="C39" s="18">
        <f>(2566.0/B39*100)</f>
        <v/>
      </c>
      <c r="D39" s="19" t="n">
        <v>372</v>
      </c>
      <c r="E39" s="18" t="n">
        <v>52.03026516</v>
      </c>
      <c r="F39" s="20" t="n">
        <v>2.66732898</v>
      </c>
      <c r="G39" s="18" t="n">
        <v>47.1065828</v>
      </c>
      <c r="H39" s="20" t="n">
        <v>2.60283292</v>
      </c>
      <c r="I39" s="18" t="s">
        <v>349</v>
      </c>
      <c r="J39" s="20" t="s">
        <v>349</v>
      </c>
      <c r="K39" s="18" t="n">
        <v>0</v>
      </c>
      <c r="L39" s="20" t="n">
        <v>0</v>
      </c>
      <c r="M39" s="18" t="n">
        <v>0</v>
      </c>
      <c r="N39" s="20" t="n">
        <v>0</v>
      </c>
      <c r="O39" s="18" t="n">
        <v>0</v>
      </c>
      <c r="P39" s="20" t="n">
        <v>0</v>
      </c>
      <c r="Q39" s="18" t="n">
        <v>0.8631520499999999</v>
      </c>
      <c r="R39" s="20" t="n">
        <v>0.56631929</v>
      </c>
    </row>
    <row r="40" spans="1:18">
      <c r="A40" s="15" t="s">
        <v>382</v>
      </c>
      <c r="B40" s="17" t="n">
        <v>6922</v>
      </c>
      <c r="C40" s="18">
        <f>(6015.0/B40*100)</f>
        <v/>
      </c>
      <c r="D40" s="19" t="n">
        <v>907</v>
      </c>
      <c r="E40" s="18" t="n">
        <v>27.31640222</v>
      </c>
      <c r="F40" s="20" t="n">
        <v>2.25843287</v>
      </c>
      <c r="G40" s="18" t="n">
        <v>72.52504688</v>
      </c>
      <c r="H40" s="20" t="n">
        <v>2.26168018</v>
      </c>
      <c r="I40" s="18" t="s">
        <v>349</v>
      </c>
      <c r="J40" s="20" t="s">
        <v>349</v>
      </c>
      <c r="K40" s="18" t="n">
        <v>0.08168991</v>
      </c>
      <c r="L40" s="20" t="n">
        <v>0.05024707</v>
      </c>
      <c r="M40" s="18" t="n">
        <v>0</v>
      </c>
      <c r="N40" s="20" t="n">
        <v>0</v>
      </c>
      <c r="O40" s="18" t="n">
        <v>0</v>
      </c>
      <c r="P40" s="20" t="n">
        <v>0</v>
      </c>
      <c r="Q40" s="18" t="n">
        <v>0.07686099</v>
      </c>
      <c r="R40" s="20" t="n">
        <v>0.03878519</v>
      </c>
    </row>
    <row r="41" spans="1:18">
      <c r="A41" s="15" t="s">
        <v>383</v>
      </c>
      <c r="B41" s="17" t="n">
        <v>2854</v>
      </c>
      <c r="C41" s="18">
        <f>(2488.0/B41*100)</f>
        <v/>
      </c>
      <c r="D41" s="19" t="n">
        <v>366</v>
      </c>
      <c r="E41" s="18" t="n">
        <v>25.18561027</v>
      </c>
      <c r="F41" s="20" t="n">
        <v>2.57723655</v>
      </c>
      <c r="G41" s="18" t="n">
        <v>74.35099375999999</v>
      </c>
      <c r="H41" s="20" t="n">
        <v>2.61808769</v>
      </c>
      <c r="I41" s="18" t="s">
        <v>349</v>
      </c>
      <c r="J41" s="20" t="s">
        <v>349</v>
      </c>
      <c r="K41" s="18" t="n">
        <v>0</v>
      </c>
      <c r="L41" s="20" t="n">
        <v>0</v>
      </c>
      <c r="M41" s="18" t="n">
        <v>0</v>
      </c>
      <c r="N41" s="20" t="n">
        <v>0</v>
      </c>
      <c r="O41" s="18" t="n">
        <v>0</v>
      </c>
      <c r="P41" s="20" t="n">
        <v>0</v>
      </c>
      <c r="Q41" s="18" t="n">
        <v>0.46339597</v>
      </c>
      <c r="R41" s="20" t="n">
        <v>0.29808094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(4110.0/B48*100)</f>
        <v/>
      </c>
      <c r="D48" s="19" t="n">
        <v>572</v>
      </c>
      <c r="E48" s="18" t="n">
        <v>21.91401485</v>
      </c>
      <c r="F48" s="20" t="n">
        <v>2.190264</v>
      </c>
      <c r="G48" s="18" t="n">
        <v>77.15209314000001</v>
      </c>
      <c r="H48" s="20" t="n">
        <v>2.17005995</v>
      </c>
      <c r="I48" s="18" t="s">
        <v>349</v>
      </c>
      <c r="J48" s="20" t="s">
        <v>349</v>
      </c>
      <c r="K48" s="18" t="n">
        <v>0.38426997</v>
      </c>
      <c r="L48" s="20" t="n">
        <v>0.32827373</v>
      </c>
      <c r="M48" s="18" t="n">
        <v>0</v>
      </c>
      <c r="N48" s="20" t="n">
        <v>0</v>
      </c>
      <c r="O48" s="18" t="n">
        <v>0</v>
      </c>
      <c r="P48" s="20" t="n">
        <v>0</v>
      </c>
      <c r="Q48" s="18" t="n">
        <v>0.54962205</v>
      </c>
      <c r="R48" s="20" t="n">
        <v>0.39387613</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(2623.0/B52*100)</f>
        <v/>
      </c>
      <c r="D52" s="19" t="n">
        <v>390</v>
      </c>
      <c r="E52" s="18" t="n">
        <v>30.44805676</v>
      </c>
      <c r="F52" s="20" t="n">
        <v>2.26971035</v>
      </c>
      <c r="G52" s="18" t="n">
        <v>68.46639315</v>
      </c>
      <c r="H52" s="20" t="n">
        <v>2.27142643</v>
      </c>
      <c r="I52" s="18" t="s">
        <v>349</v>
      </c>
      <c r="J52" s="20" t="s">
        <v>349</v>
      </c>
      <c r="K52" s="18" t="n">
        <v>0.46767092</v>
      </c>
      <c r="L52" s="20" t="n">
        <v>0.31084153</v>
      </c>
      <c r="M52" s="18" t="n">
        <v>0</v>
      </c>
      <c r="N52" s="20" t="n">
        <v>0</v>
      </c>
      <c r="O52" s="18" t="n">
        <v>0</v>
      </c>
      <c r="P52" s="20" t="n">
        <v>0</v>
      </c>
      <c r="Q52" s="18" t="n">
        <v>0.61787917</v>
      </c>
      <c r="R52" s="20" t="n">
        <v>0.43516869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19.66210203</v>
      </c>
      <c r="F56" s="20" t="n">
        <v>1.91938408</v>
      </c>
      <c r="G56" s="18" t="n">
        <v>80.05472211999999</v>
      </c>
      <c r="H56" s="20" t="n">
        <v>2.00176404</v>
      </c>
      <c r="I56" s="18" t="s">
        <v>349</v>
      </c>
      <c r="J56" s="20" t="s">
        <v>349</v>
      </c>
      <c r="K56" s="18" t="n">
        <v>0</v>
      </c>
      <c r="L56" s="20" t="n">
        <v>0</v>
      </c>
      <c r="M56" s="18" t="n">
        <v>0</v>
      </c>
      <c r="N56" s="20" t="n">
        <v>0</v>
      </c>
      <c r="O56" s="18" t="n">
        <v>0</v>
      </c>
      <c r="P56" s="20" t="n">
        <v>0</v>
      </c>
      <c r="Q56" s="18" t="n">
        <v>0.28317584</v>
      </c>
      <c r="R56" s="20" t="n">
        <v>0.3177227</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(2821.0/B61*100)</f>
        <v/>
      </c>
      <c r="D61" s="19" t="n">
        <v>380</v>
      </c>
      <c r="E61" s="18" t="n">
        <v>27.51097967</v>
      </c>
      <c r="F61" s="20" t="n">
        <v>2.14343472</v>
      </c>
      <c r="G61" s="18" t="n">
        <v>72.4261173</v>
      </c>
      <c r="H61" s="20" t="n">
        <v>2.14476833</v>
      </c>
      <c r="I61" s="18" t="s">
        <v>349</v>
      </c>
      <c r="J61" s="20" t="s">
        <v>349</v>
      </c>
      <c r="K61" s="18" t="n">
        <v>0</v>
      </c>
      <c r="L61" s="20" t="n">
        <v>0</v>
      </c>
      <c r="M61" s="18" t="n">
        <v>0</v>
      </c>
      <c r="N61" s="20" t="n">
        <v>0</v>
      </c>
      <c r="O61" s="18" t="n">
        <v>0</v>
      </c>
      <c r="P61" s="20" t="n">
        <v>0</v>
      </c>
      <c r="Q61" s="18" t="n">
        <v>0.06290303</v>
      </c>
      <c r="R61" s="20" t="n">
        <v>0.06338383</v>
      </c>
    </row>
    <row r="62" spans="1:18">
      <c r="A62" s="15" t="s">
        <v>404</v>
      </c>
      <c r="B62" s="17" t="n">
        <v>2230</v>
      </c>
      <c r="C62" s="18">
        <f>(1949.0/B62*100)</f>
        <v/>
      </c>
      <c r="D62" s="19" t="n">
        <v>281</v>
      </c>
      <c r="E62" s="18" t="n">
        <v>22.15904897</v>
      </c>
      <c r="F62" s="20" t="n">
        <v>2.49059269</v>
      </c>
      <c r="G62" s="18" t="n">
        <v>77.84095103</v>
      </c>
      <c r="H62" s="20" t="n">
        <v>2.49059269</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(2443.0/B66*100)</f>
        <v/>
      </c>
      <c r="D66" s="19" t="n">
        <v>328</v>
      </c>
      <c r="E66" s="18" t="n">
        <v>42.00952631</v>
      </c>
      <c r="F66" s="20" t="n">
        <v>2.78571197</v>
      </c>
      <c r="G66" s="18" t="n">
        <v>55.39767349</v>
      </c>
      <c r="H66" s="20" t="n">
        <v>2.90396434</v>
      </c>
      <c r="I66" s="18" t="s">
        <v>349</v>
      </c>
      <c r="J66" s="20" t="s">
        <v>349</v>
      </c>
      <c r="K66" s="18" t="n">
        <v>0.25229375</v>
      </c>
      <c r="L66" s="20" t="n">
        <v>0.25396802</v>
      </c>
      <c r="M66" s="18" t="n">
        <v>0</v>
      </c>
      <c r="N66" s="20" t="n">
        <v>0</v>
      </c>
      <c r="O66" s="18" t="n">
        <v>0</v>
      </c>
      <c r="P66" s="20" t="n">
        <v>0</v>
      </c>
      <c r="Q66" s="18" t="n">
        <v>2.34050645</v>
      </c>
      <c r="R66" s="20" t="n">
        <v>0.89576691</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(5031.0/B68*100)</f>
        <v/>
      </c>
      <c r="D68" s="19" t="n">
        <v>1003</v>
      </c>
      <c r="E68" s="18" t="n">
        <v>34.66624048</v>
      </c>
      <c r="F68" s="20" t="n">
        <v>1.67629984</v>
      </c>
      <c r="G68" s="18" t="n">
        <v>64.35436554</v>
      </c>
      <c r="H68" s="20" t="n">
        <v>1.69347093</v>
      </c>
      <c r="I68" s="18" t="s">
        <v>349</v>
      </c>
      <c r="J68" s="20" t="s">
        <v>349</v>
      </c>
      <c r="K68" s="18" t="n">
        <v>0.48371176</v>
      </c>
      <c r="L68" s="20" t="n">
        <v>0.21624846</v>
      </c>
      <c r="M68" s="18" t="n">
        <v>0</v>
      </c>
      <c r="N68" s="20" t="n">
        <v>0</v>
      </c>
      <c r="O68" s="18" t="n">
        <v>0</v>
      </c>
      <c r="P68" s="20" t="n">
        <v>0</v>
      </c>
      <c r="Q68" s="18" t="n">
        <v>0.49568223</v>
      </c>
      <c r="R68" s="20" t="n">
        <v>0.22272316</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(2700.0/B70*100)</f>
        <v/>
      </c>
      <c r="D70" s="19" t="n">
        <v>407</v>
      </c>
      <c r="E70" s="18" t="n">
        <v>23.83412254</v>
      </c>
      <c r="F70" s="20" t="n">
        <v>2.2252158</v>
      </c>
      <c r="G70" s="18" t="n">
        <v>75.96973018</v>
      </c>
      <c r="H70" s="20" t="n">
        <v>2.23377869</v>
      </c>
      <c r="I70" s="18" t="s">
        <v>349</v>
      </c>
      <c r="J70" s="20" t="s">
        <v>349</v>
      </c>
      <c r="K70" s="18" t="n">
        <v>0</v>
      </c>
      <c r="L70" s="20" t="n">
        <v>0</v>
      </c>
      <c r="M70" s="18" t="n">
        <v>0</v>
      </c>
      <c r="N70" s="20" t="n">
        <v>0</v>
      </c>
      <c r="O70" s="18" t="n">
        <v>0</v>
      </c>
      <c r="P70" s="20" t="n">
        <v>0</v>
      </c>
      <c r="Q70" s="18" t="n">
        <v>0.19614728</v>
      </c>
      <c r="R70" s="20" t="n">
        <v>0.19630047</v>
      </c>
    </row>
    <row r="71" spans="1:18">
      <c r="A71" s="15" t="s">
        <v>413</v>
      </c>
      <c r="B71" s="17" t="n">
        <v>2973</v>
      </c>
      <c r="C71" s="18">
        <f>(2598.0/B71*100)</f>
        <v/>
      </c>
      <c r="D71" s="19" t="n">
        <v>375</v>
      </c>
      <c r="E71" s="18" t="n">
        <v>14.90919785</v>
      </c>
      <c r="F71" s="20" t="n">
        <v>1.65362928</v>
      </c>
      <c r="G71" s="18" t="n">
        <v>84.82325718</v>
      </c>
      <c r="H71" s="20" t="n">
        <v>1.67760296</v>
      </c>
      <c r="I71" s="18" t="s">
        <v>349</v>
      </c>
      <c r="J71" s="20" t="s">
        <v>349</v>
      </c>
      <c r="K71" s="18" t="n">
        <v>0</v>
      </c>
      <c r="L71" s="20" t="n">
        <v>0</v>
      </c>
      <c r="M71" s="18" t="n">
        <v>0</v>
      </c>
      <c r="N71" s="20" t="n">
        <v>0</v>
      </c>
      <c r="O71" s="18" t="n">
        <v>0</v>
      </c>
      <c r="P71" s="20" t="n">
        <v>0</v>
      </c>
      <c r="Q71" s="18" t="n">
        <v>0.26754496</v>
      </c>
      <c r="R71" s="20" t="n">
        <v>0.26737276</v>
      </c>
    </row>
    <row r="72" spans="1:18">
      <c r="A72" s="15" t="s">
        <v>414</v>
      </c>
      <c r="B72" s="17" t="n">
        <v>3819</v>
      </c>
      <c r="C72" s="18">
        <f>(3341.0/B72*100)</f>
        <v/>
      </c>
      <c r="D72" s="19" t="n">
        <v>478</v>
      </c>
      <c r="E72" s="18" t="n">
        <v>22.23232773</v>
      </c>
      <c r="F72" s="20" t="n">
        <v>1.82954488</v>
      </c>
      <c r="G72" s="18" t="n">
        <v>77.38494957</v>
      </c>
      <c r="H72" s="20" t="n">
        <v>1.81082594</v>
      </c>
      <c r="I72" s="18" t="s">
        <v>349</v>
      </c>
      <c r="J72" s="20" t="s">
        <v>349</v>
      </c>
      <c r="K72" s="18" t="n">
        <v>0</v>
      </c>
      <c r="L72" s="20" t="n">
        <v>0</v>
      </c>
      <c r="M72" s="18" t="n">
        <v>0</v>
      </c>
      <c r="N72" s="20" t="n">
        <v>0</v>
      </c>
      <c r="O72" s="18" t="n">
        <v>0</v>
      </c>
      <c r="P72" s="20" t="n">
        <v>0</v>
      </c>
      <c r="Q72" s="18" t="n">
        <v>0.3827227</v>
      </c>
      <c r="R72" s="20" t="n">
        <v>0.29331975</v>
      </c>
    </row>
    <row r="73" spans="1:18">
      <c r="A73" s="15" t="s">
        <v>415</v>
      </c>
      <c r="B73" s="17" t="n">
        <v>4652</v>
      </c>
      <c r="C73" s="18">
        <f>(4093.0/B73*100)</f>
        <v/>
      </c>
      <c r="D73" s="19" t="n">
        <v>559</v>
      </c>
      <c r="E73" s="18" t="n">
        <v>46.27314444</v>
      </c>
      <c r="F73" s="20" t="n">
        <v>2.64307729</v>
      </c>
      <c r="G73" s="18" t="n">
        <v>53.48382594</v>
      </c>
      <c r="H73" s="20" t="n">
        <v>2.68857752</v>
      </c>
      <c r="I73" s="18" t="s">
        <v>349</v>
      </c>
      <c r="J73" s="20" t="s">
        <v>349</v>
      </c>
      <c r="K73" s="18" t="n">
        <v>0</v>
      </c>
      <c r="L73" s="20" t="n">
        <v>0</v>
      </c>
      <c r="M73" s="18" t="n">
        <v>0</v>
      </c>
      <c r="N73" s="20" t="n">
        <v>0</v>
      </c>
      <c r="O73" s="18" t="n">
        <v>0</v>
      </c>
      <c r="P73" s="20" t="n">
        <v>0</v>
      </c>
      <c r="Q73" s="18" t="n">
        <v>0.24302962</v>
      </c>
      <c r="R73" s="20" t="n">
        <v>0.24042897</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(4102.0/B81*100)</f>
        <v/>
      </c>
      <c r="D81" s="19" t="n">
        <v>596</v>
      </c>
      <c r="E81" s="18" t="n">
        <v>36.13525139</v>
      </c>
      <c r="F81" s="20" t="n">
        <v>2.37211094</v>
      </c>
      <c r="G81" s="18" t="n">
        <v>63.86474861</v>
      </c>
      <c r="H81" s="20" t="n">
        <v>2.37211094</v>
      </c>
      <c r="I81" s="18" t="s">
        <v>349</v>
      </c>
      <c r="J81" s="20" t="s">
        <v>349</v>
      </c>
      <c r="K81" s="18" t="n">
        <v>0</v>
      </c>
      <c r="L81" s="20" t="n">
        <v>0</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(6285.0/B7*100)</f>
        <v/>
      </c>
      <c r="D7" s="19" t="n">
        <v>878</v>
      </c>
      <c r="E7" s="18" t="n">
        <v>54.04784384</v>
      </c>
      <c r="F7" s="20" t="n">
        <v>2.16872234</v>
      </c>
      <c r="G7" s="18" t="n">
        <v>38.11964912</v>
      </c>
      <c r="H7" s="20" t="n">
        <v>1.99338678</v>
      </c>
      <c r="I7" s="18" t="s">
        <v>349</v>
      </c>
      <c r="J7" s="20" t="s">
        <v>349</v>
      </c>
      <c r="K7" s="18" t="n">
        <v>0.11634068</v>
      </c>
      <c r="L7" s="20" t="n">
        <v>0.08550845999999999</v>
      </c>
      <c r="M7" s="18" t="n">
        <v>0.01173503</v>
      </c>
      <c r="N7" s="20" t="n">
        <v>0.01193115</v>
      </c>
      <c r="O7" s="18" t="n">
        <v>0</v>
      </c>
      <c r="P7" s="20" t="n">
        <v>0</v>
      </c>
      <c r="Q7" s="18" t="n">
        <v>7.70443134</v>
      </c>
      <c r="R7" s="20" t="n">
        <v>0.95910078</v>
      </c>
    </row>
    <row r="8" spans="1:18">
      <c r="A8" s="15" t="s">
        <v>350</v>
      </c>
      <c r="B8" s="17" t="n">
        <v>3443</v>
      </c>
      <c r="C8" s="18">
        <f>(3012.0/B8*100)</f>
        <v/>
      </c>
      <c r="D8" s="19" t="n">
        <v>431</v>
      </c>
      <c r="E8" s="18" t="n">
        <v>60.79488431</v>
      </c>
      <c r="F8" s="20" t="n">
        <v>2.51438281</v>
      </c>
      <c r="G8" s="18" t="n">
        <v>28.04752828</v>
      </c>
      <c r="H8" s="20" t="n">
        <v>2.21869939</v>
      </c>
      <c r="I8" s="18" t="s">
        <v>349</v>
      </c>
      <c r="J8" s="20" t="s">
        <v>349</v>
      </c>
      <c r="K8" s="18" t="n">
        <v>0</v>
      </c>
      <c r="L8" s="20" t="n">
        <v>0</v>
      </c>
      <c r="M8" s="18" t="n">
        <v>0</v>
      </c>
      <c r="N8" s="20" t="n">
        <v>0</v>
      </c>
      <c r="O8" s="18" t="n">
        <v>0</v>
      </c>
      <c r="P8" s="20" t="n">
        <v>0</v>
      </c>
      <c r="Q8" s="18" t="n">
        <v>11.15758741</v>
      </c>
      <c r="R8" s="20" t="n">
        <v>1.65908701</v>
      </c>
    </row>
    <row r="9" spans="1:18">
      <c r="A9" s="15" t="s">
        <v>351</v>
      </c>
      <c r="B9" s="17" t="n">
        <v>4752</v>
      </c>
      <c r="C9" s="18">
        <f>(4164.0/B9*100)</f>
        <v/>
      </c>
      <c r="D9" s="19" t="n">
        <v>588</v>
      </c>
      <c r="E9" s="18" t="n">
        <v>40.87241521</v>
      </c>
      <c r="F9" s="20" t="n">
        <v>2.16092497</v>
      </c>
      <c r="G9" s="18" t="n">
        <v>45.71056892</v>
      </c>
      <c r="H9" s="20" t="n">
        <v>1.9978272</v>
      </c>
      <c r="I9" s="18" t="s">
        <v>349</v>
      </c>
      <c r="J9" s="20" t="s">
        <v>349</v>
      </c>
      <c r="K9" s="18" t="n">
        <v>0.18824421</v>
      </c>
      <c r="L9" s="20" t="n">
        <v>0.19508624</v>
      </c>
      <c r="M9" s="18" t="n">
        <v>0.28828268</v>
      </c>
      <c r="N9" s="20" t="n">
        <v>0.20250769</v>
      </c>
      <c r="O9" s="18" t="n">
        <v>0</v>
      </c>
      <c r="P9" s="20" t="n">
        <v>0</v>
      </c>
      <c r="Q9" s="18" t="n">
        <v>12.94048898</v>
      </c>
      <c r="R9" s="20" t="n">
        <v>1.50081599</v>
      </c>
    </row>
    <row r="10" spans="1:18">
      <c r="A10" s="15" t="s">
        <v>352</v>
      </c>
      <c r="B10" s="17" t="n">
        <v>10022</v>
      </c>
      <c r="C10" s="18">
        <f>(8795.0/B10*100)</f>
        <v/>
      </c>
      <c r="D10" s="19" t="n">
        <v>1227</v>
      </c>
      <c r="E10" s="18" t="n">
        <v>46.09105267</v>
      </c>
      <c r="F10" s="20" t="n">
        <v>1.94407406</v>
      </c>
      <c r="G10" s="18" t="n">
        <v>45.51152171</v>
      </c>
      <c r="H10" s="20" t="n">
        <v>2.15621671</v>
      </c>
      <c r="I10" s="18" t="s">
        <v>349</v>
      </c>
      <c r="J10" s="20" t="s">
        <v>349</v>
      </c>
      <c r="K10" s="18" t="n">
        <v>0.27898525</v>
      </c>
      <c r="L10" s="20" t="n">
        <v>0.22200852</v>
      </c>
      <c r="M10" s="18" t="n">
        <v>0.39089162</v>
      </c>
      <c r="N10" s="20" t="n">
        <v>0.22117991</v>
      </c>
      <c r="O10" s="18" t="n">
        <v>0</v>
      </c>
      <c r="P10" s="20" t="n">
        <v>0</v>
      </c>
      <c r="Q10" s="18" t="n">
        <v>7.72754875</v>
      </c>
      <c r="R10" s="20" t="n">
        <v>1.21586053</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(3008.0/B12*100)</f>
        <v/>
      </c>
      <c r="D12" s="19" t="n">
        <v>414</v>
      </c>
      <c r="E12" s="18" t="n">
        <v>54.05372997</v>
      </c>
      <c r="F12" s="20" t="n">
        <v>3.12981388</v>
      </c>
      <c r="G12" s="18" t="n">
        <v>35.07485437</v>
      </c>
      <c r="H12" s="20" t="n">
        <v>2.94147579</v>
      </c>
      <c r="I12" s="18" t="s">
        <v>349</v>
      </c>
      <c r="J12" s="20" t="s">
        <v>349</v>
      </c>
      <c r="K12" s="18" t="n">
        <v>0</v>
      </c>
      <c r="L12" s="20" t="n">
        <v>0</v>
      </c>
      <c r="M12" s="18" t="n">
        <v>0</v>
      </c>
      <c r="N12" s="20" t="n">
        <v>0</v>
      </c>
      <c r="O12" s="18" t="n">
        <v>0</v>
      </c>
      <c r="P12" s="20" t="n">
        <v>0</v>
      </c>
      <c r="Q12" s="18" t="n">
        <v>10.87141566</v>
      </c>
      <c r="R12" s="20" t="n">
        <v>1.72631272</v>
      </c>
    </row>
    <row r="13" spans="1:18">
      <c r="A13" s="15" t="s">
        <v>355</v>
      </c>
      <c r="B13" s="17" t="n">
        <v>3602</v>
      </c>
      <c r="C13" s="18">
        <f>(3184.0/B13*100)</f>
        <v/>
      </c>
      <c r="D13" s="19" t="n">
        <v>418</v>
      </c>
      <c r="E13" s="18" t="n">
        <v>18.13846588</v>
      </c>
      <c r="F13" s="20" t="n">
        <v>2.3185591</v>
      </c>
      <c r="G13" s="18" t="n">
        <v>38.62255629</v>
      </c>
      <c r="H13" s="20" t="n">
        <v>3.14361345</v>
      </c>
      <c r="I13" s="18" t="s">
        <v>349</v>
      </c>
      <c r="J13" s="20" t="s">
        <v>349</v>
      </c>
      <c r="K13" s="18" t="n">
        <v>0</v>
      </c>
      <c r="L13" s="20" t="n">
        <v>0</v>
      </c>
      <c r="M13" s="18" t="n">
        <v>42.58867284</v>
      </c>
      <c r="N13" s="20" t="n">
        <v>3.01533392</v>
      </c>
      <c r="O13" s="18" t="n">
        <v>0</v>
      </c>
      <c r="P13" s="20" t="n">
        <v>0</v>
      </c>
      <c r="Q13" s="18" t="n">
        <v>0.65030499</v>
      </c>
      <c r="R13" s="20" t="n">
        <v>0.44200997</v>
      </c>
    </row>
    <row r="14" spans="1:18">
      <c r="A14" s="15" t="s">
        <v>356</v>
      </c>
      <c r="B14" s="17" t="n">
        <v>2788</v>
      </c>
      <c r="C14" s="18">
        <f>(2453.0/B14*100)</f>
        <v/>
      </c>
      <c r="D14" s="19" t="n">
        <v>335</v>
      </c>
      <c r="E14" s="18" t="n">
        <v>40.29590428</v>
      </c>
      <c r="F14" s="20" t="n">
        <v>3.15239196</v>
      </c>
      <c r="G14" s="18" t="n">
        <v>50.09777809</v>
      </c>
      <c r="H14" s="20" t="n">
        <v>2.8870986</v>
      </c>
      <c r="I14" s="18" t="s">
        <v>349</v>
      </c>
      <c r="J14" s="20" t="s">
        <v>349</v>
      </c>
      <c r="K14" s="18" t="n">
        <v>0</v>
      </c>
      <c r="L14" s="20" t="n">
        <v>0</v>
      </c>
      <c r="M14" s="18" t="n">
        <v>0</v>
      </c>
      <c r="N14" s="20" t="n">
        <v>0</v>
      </c>
      <c r="O14" s="18" t="n">
        <v>0</v>
      </c>
      <c r="P14" s="20" t="n">
        <v>0</v>
      </c>
      <c r="Q14" s="18" t="n">
        <v>9.606317629999999</v>
      </c>
      <c r="R14" s="20" t="n">
        <v>1.92707138</v>
      </c>
    </row>
    <row r="15" spans="1:18">
      <c r="A15" s="15" t="s">
        <v>357</v>
      </c>
      <c r="B15" s="17" t="n">
        <v>2863</v>
      </c>
      <c r="C15" s="18">
        <f>(2512.0/B15*100)</f>
        <v/>
      </c>
      <c r="D15" s="19" t="n">
        <v>351</v>
      </c>
      <c r="E15" s="18" t="n">
        <v>44.23972562</v>
      </c>
      <c r="F15" s="20" t="n">
        <v>2.41331083</v>
      </c>
      <c r="G15" s="18" t="n">
        <v>45.22492401</v>
      </c>
      <c r="H15" s="20" t="n">
        <v>2.5824093</v>
      </c>
      <c r="I15" s="18" t="s">
        <v>349</v>
      </c>
      <c r="J15" s="20" t="s">
        <v>349</v>
      </c>
      <c r="K15" s="18" t="n">
        <v>0.58681116</v>
      </c>
      <c r="L15" s="20" t="n">
        <v>0.3979958</v>
      </c>
      <c r="M15" s="18" t="n">
        <v>0</v>
      </c>
      <c r="N15" s="20" t="n">
        <v>0</v>
      </c>
      <c r="O15" s="18" t="n">
        <v>0</v>
      </c>
      <c r="P15" s="20" t="n">
        <v>0</v>
      </c>
      <c r="Q15" s="18" t="n">
        <v>9.94853921</v>
      </c>
      <c r="R15" s="20" t="n">
        <v>1.47932888</v>
      </c>
    </row>
    <row r="16" spans="1:18">
      <c r="A16" s="15" t="s">
        <v>358</v>
      </c>
      <c r="B16" s="17" t="n">
        <v>3111</v>
      </c>
      <c r="C16" s="18">
        <f>(2735.0/B16*100)</f>
        <v/>
      </c>
      <c r="D16" s="19" t="n">
        <v>376</v>
      </c>
      <c r="E16" s="18" t="n">
        <v>41.88349231</v>
      </c>
      <c r="F16" s="20" t="n">
        <v>2.67028143</v>
      </c>
      <c r="G16" s="18" t="n">
        <v>38.70528549</v>
      </c>
      <c r="H16" s="20" t="n">
        <v>2.56786089</v>
      </c>
      <c r="I16" s="18" t="s">
        <v>349</v>
      </c>
      <c r="J16" s="20" t="s">
        <v>349</v>
      </c>
      <c r="K16" s="18" t="n">
        <v>0</v>
      </c>
      <c r="L16" s="20" t="n">
        <v>0</v>
      </c>
      <c r="M16" s="18" t="n">
        <v>0</v>
      </c>
      <c r="N16" s="20" t="n">
        <v>0</v>
      </c>
      <c r="O16" s="18" t="n">
        <v>0</v>
      </c>
      <c r="P16" s="20" t="n">
        <v>0</v>
      </c>
      <c r="Q16" s="18" t="n">
        <v>19.4112222</v>
      </c>
      <c r="R16" s="20" t="n">
        <v>2.12470047</v>
      </c>
    </row>
    <row r="17" spans="1:18">
      <c r="A17" s="15" t="s">
        <v>359</v>
      </c>
      <c r="B17" s="17" t="n">
        <v>3197</v>
      </c>
      <c r="C17" s="18">
        <f>(2793.0/B17*100)</f>
        <v/>
      </c>
      <c r="D17" s="19" t="n">
        <v>404</v>
      </c>
      <c r="E17" s="18" t="n">
        <v>46.50338863</v>
      </c>
      <c r="F17" s="20" t="n">
        <v>2.43910554</v>
      </c>
      <c r="G17" s="18" t="n">
        <v>39.55702597</v>
      </c>
      <c r="H17" s="20" t="n">
        <v>2.25845752</v>
      </c>
      <c r="I17" s="18" t="s">
        <v>349</v>
      </c>
      <c r="J17" s="20" t="s">
        <v>349</v>
      </c>
      <c r="K17" s="18" t="n">
        <v>0.53626224</v>
      </c>
      <c r="L17" s="20" t="n">
        <v>0.37665912</v>
      </c>
      <c r="M17" s="18" t="n">
        <v>0</v>
      </c>
      <c r="N17" s="20" t="n">
        <v>0</v>
      </c>
      <c r="O17" s="18" t="n">
        <v>0</v>
      </c>
      <c r="P17" s="20" t="n">
        <v>0</v>
      </c>
      <c r="Q17" s="18" t="n">
        <v>13.40332316</v>
      </c>
      <c r="R17" s="20" t="n">
        <v>1.4214672</v>
      </c>
    </row>
    <row r="18" spans="1:18">
      <c r="A18" s="15" t="s">
        <v>360</v>
      </c>
      <c r="B18" s="17" t="n">
        <v>2706</v>
      </c>
      <c r="C18" s="18">
        <f>(2390.0/B18*100)</f>
        <v/>
      </c>
      <c r="D18" s="19" t="n">
        <v>316</v>
      </c>
      <c r="E18" s="18" t="n">
        <v>51.77054763</v>
      </c>
      <c r="F18" s="20" t="n">
        <v>3.31616367</v>
      </c>
      <c r="G18" s="18" t="n">
        <v>37.72160997</v>
      </c>
      <c r="H18" s="20" t="n">
        <v>2.82720834</v>
      </c>
      <c r="I18" s="18" t="s">
        <v>349</v>
      </c>
      <c r="J18" s="20" t="s">
        <v>349</v>
      </c>
      <c r="K18" s="18" t="n">
        <v>0.84167168</v>
      </c>
      <c r="L18" s="20" t="n">
        <v>0.8418707600000001</v>
      </c>
      <c r="M18" s="18" t="n">
        <v>0.57103389</v>
      </c>
      <c r="N18" s="20" t="n">
        <v>0.35069774</v>
      </c>
      <c r="O18" s="18" t="n">
        <v>0</v>
      </c>
      <c r="P18" s="20" t="n">
        <v>0</v>
      </c>
      <c r="Q18" s="18" t="n">
        <v>9.09513683</v>
      </c>
      <c r="R18" s="20" t="n">
        <v>1.94917032</v>
      </c>
    </row>
    <row r="19" spans="1:18">
      <c r="A19" s="15" t="s">
        <v>361</v>
      </c>
      <c r="B19" s="17" t="n">
        <v>2850</v>
      </c>
      <c r="C19" s="18">
        <f>(2511.0/B19*100)</f>
        <v/>
      </c>
      <c r="D19" s="19" t="n">
        <v>339</v>
      </c>
      <c r="E19" s="18" t="n">
        <v>58.85117333</v>
      </c>
      <c r="F19" s="20" t="n">
        <v>2.65823957</v>
      </c>
      <c r="G19" s="18" t="n">
        <v>29.70546058</v>
      </c>
      <c r="H19" s="20" t="n">
        <v>2.50014809</v>
      </c>
      <c r="I19" s="18" t="s">
        <v>349</v>
      </c>
      <c r="J19" s="20" t="s">
        <v>349</v>
      </c>
      <c r="K19" s="18" t="n">
        <v>0</v>
      </c>
      <c r="L19" s="20" t="n">
        <v>0</v>
      </c>
      <c r="M19" s="18" t="n">
        <v>0</v>
      </c>
      <c r="N19" s="20" t="n">
        <v>0</v>
      </c>
      <c r="O19" s="18" t="n">
        <v>0</v>
      </c>
      <c r="P19" s="20" t="n">
        <v>0</v>
      </c>
      <c r="Q19" s="18" t="n">
        <v>11.44336609</v>
      </c>
      <c r="R19" s="20" t="n">
        <v>1.82048074</v>
      </c>
    </row>
    <row r="20" spans="1:18">
      <c r="A20" s="15" t="s">
        <v>362</v>
      </c>
      <c r="B20" s="17" t="n">
        <v>1741</v>
      </c>
      <c r="C20" s="18">
        <f>(1523.0/B20*100)</f>
        <v/>
      </c>
      <c r="D20" s="19" t="n">
        <v>218</v>
      </c>
      <c r="E20" s="18" t="n">
        <v>39.3935913</v>
      </c>
      <c r="F20" s="20" t="n">
        <v>3.30554024</v>
      </c>
      <c r="G20" s="18" t="n">
        <v>47.98131797</v>
      </c>
      <c r="H20" s="20" t="n">
        <v>3.37097895</v>
      </c>
      <c r="I20" s="18" t="s">
        <v>349</v>
      </c>
      <c r="J20" s="20" t="s">
        <v>349</v>
      </c>
      <c r="K20" s="18" t="n">
        <v>0.5317137199999999</v>
      </c>
      <c r="L20" s="20" t="n">
        <v>0.52071109</v>
      </c>
      <c r="M20" s="18" t="n">
        <v>0</v>
      </c>
      <c r="N20" s="20" t="n">
        <v>0</v>
      </c>
      <c r="O20" s="18" t="n">
        <v>0</v>
      </c>
      <c r="P20" s="20" t="n">
        <v>0</v>
      </c>
      <c r="Q20" s="18" t="n">
        <v>12.09337701</v>
      </c>
      <c r="R20" s="20" t="n">
        <v>2.35645302</v>
      </c>
    </row>
    <row r="21" spans="1:18">
      <c r="A21" s="15" t="s">
        <v>363</v>
      </c>
      <c r="B21" s="17" t="n">
        <v>2833</v>
      </c>
      <c r="C21" s="18">
        <f>(2380.0/B21*100)</f>
        <v/>
      </c>
      <c r="D21" s="19" t="n">
        <v>453</v>
      </c>
      <c r="E21" s="18" t="n">
        <v>41.89956738</v>
      </c>
      <c r="F21" s="20" t="n">
        <v>2.33910966</v>
      </c>
      <c r="G21" s="18" t="n">
        <v>49.28785726</v>
      </c>
      <c r="H21" s="20" t="n">
        <v>2.49289711</v>
      </c>
      <c r="I21" s="18" t="s">
        <v>349</v>
      </c>
      <c r="J21" s="20" t="s">
        <v>349</v>
      </c>
      <c r="K21" s="18" t="n">
        <v>0.16175137</v>
      </c>
      <c r="L21" s="20" t="n">
        <v>0.16098564</v>
      </c>
      <c r="M21" s="18" t="n">
        <v>0</v>
      </c>
      <c r="N21" s="20" t="n">
        <v>0</v>
      </c>
      <c r="O21" s="18" t="n">
        <v>0</v>
      </c>
      <c r="P21" s="20" t="n">
        <v>0</v>
      </c>
      <c r="Q21" s="18" t="n">
        <v>8.65082398</v>
      </c>
      <c r="R21" s="20" t="n">
        <v>1.2279808</v>
      </c>
    </row>
    <row r="22" spans="1:18">
      <c r="A22" s="15" t="s">
        <v>364</v>
      </c>
      <c r="B22" s="17" t="n">
        <v>3667</v>
      </c>
      <c r="C22" s="18">
        <f>(3184.0/B22*100)</f>
        <v/>
      </c>
      <c r="D22" s="19" t="n">
        <v>483</v>
      </c>
      <c r="E22" s="18" t="n">
        <v>49.02397115</v>
      </c>
      <c r="F22" s="20" t="n">
        <v>2.27679684</v>
      </c>
      <c r="G22" s="18" t="n">
        <v>36.55573776</v>
      </c>
      <c r="H22" s="20" t="n">
        <v>2.36077077</v>
      </c>
      <c r="I22" s="18" t="s">
        <v>349</v>
      </c>
      <c r="J22" s="20" t="s">
        <v>349</v>
      </c>
      <c r="K22" s="18" t="n">
        <v>0</v>
      </c>
      <c r="L22" s="20" t="n">
        <v>0</v>
      </c>
      <c r="M22" s="18" t="n">
        <v>0</v>
      </c>
      <c r="N22" s="20" t="n">
        <v>0</v>
      </c>
      <c r="O22" s="18" t="n">
        <v>0</v>
      </c>
      <c r="P22" s="20" t="n">
        <v>0</v>
      </c>
      <c r="Q22" s="18" t="n">
        <v>14.42029109</v>
      </c>
      <c r="R22" s="20" t="n">
        <v>1.62404596</v>
      </c>
    </row>
    <row r="23" spans="1:18">
      <c r="A23" s="15" t="s">
        <v>365</v>
      </c>
      <c r="B23" s="17" t="n">
        <v>5792</v>
      </c>
      <c r="C23" s="18">
        <f>(5076.0/B23*100)</f>
        <v/>
      </c>
      <c r="D23" s="19" t="n">
        <v>716</v>
      </c>
      <c r="E23" s="18" t="n">
        <v>45.0822962</v>
      </c>
      <c r="F23" s="20" t="n">
        <v>3.168456</v>
      </c>
      <c r="G23" s="18" t="n">
        <v>35.04572598</v>
      </c>
      <c r="H23" s="20" t="n">
        <v>3.00205558</v>
      </c>
      <c r="I23" s="18" t="s">
        <v>349</v>
      </c>
      <c r="J23" s="20" t="s">
        <v>349</v>
      </c>
      <c r="K23" s="18" t="n">
        <v>0.14507178</v>
      </c>
      <c r="L23" s="20" t="n">
        <v>0.14765768</v>
      </c>
      <c r="M23" s="18" t="n">
        <v>0</v>
      </c>
      <c r="N23" s="20" t="n">
        <v>0</v>
      </c>
      <c r="O23" s="18" t="n">
        <v>0</v>
      </c>
      <c r="P23" s="20" t="n">
        <v>0</v>
      </c>
      <c r="Q23" s="18" t="n">
        <v>19.72690603</v>
      </c>
      <c r="R23" s="20" t="n">
        <v>1.99412112</v>
      </c>
    </row>
    <row r="24" spans="1:18">
      <c r="A24" s="15" t="s">
        <v>366</v>
      </c>
      <c r="B24" s="17" t="n">
        <v>3309</v>
      </c>
      <c r="C24" s="18">
        <f>(2931.0/B24*100)</f>
        <v/>
      </c>
      <c r="D24" s="19" t="n">
        <v>378</v>
      </c>
      <c r="E24" s="18" t="n">
        <v>58.04994774</v>
      </c>
      <c r="F24" s="20" t="n">
        <v>2.65826143</v>
      </c>
      <c r="G24" s="18" t="n">
        <v>31.24014666</v>
      </c>
      <c r="H24" s="20" t="n">
        <v>2.52597732</v>
      </c>
      <c r="I24" s="18" t="s">
        <v>349</v>
      </c>
      <c r="J24" s="20" t="s">
        <v>349</v>
      </c>
      <c r="K24" s="18" t="n">
        <v>0</v>
      </c>
      <c r="L24" s="20" t="n">
        <v>0</v>
      </c>
      <c r="M24" s="18" t="n">
        <v>0</v>
      </c>
      <c r="N24" s="20" t="n">
        <v>0</v>
      </c>
      <c r="O24" s="18" t="n">
        <v>0</v>
      </c>
      <c r="P24" s="20" t="n">
        <v>0</v>
      </c>
      <c r="Q24" s="18" t="n">
        <v>10.7099056</v>
      </c>
      <c r="R24" s="20" t="n">
        <v>1.78194869</v>
      </c>
    </row>
    <row r="25" spans="1:18">
      <c r="A25" s="15" t="s">
        <v>367</v>
      </c>
      <c r="B25" s="17" t="n">
        <v>2669</v>
      </c>
      <c r="C25" s="18">
        <f>(2360.0/B25*100)</f>
        <v/>
      </c>
      <c r="D25" s="19" t="n">
        <v>309</v>
      </c>
      <c r="E25" s="18" t="n">
        <v>54.6511683</v>
      </c>
      <c r="F25" s="20" t="n">
        <v>2.6797414</v>
      </c>
      <c r="G25" s="18" t="n">
        <v>37.75954113</v>
      </c>
      <c r="H25" s="20" t="n">
        <v>2.63109073</v>
      </c>
      <c r="I25" s="18" t="s">
        <v>349</v>
      </c>
      <c r="J25" s="20" t="s">
        <v>349</v>
      </c>
      <c r="K25" s="18" t="n">
        <v>0</v>
      </c>
      <c r="L25" s="20" t="n">
        <v>0</v>
      </c>
      <c r="M25" s="18" t="n">
        <v>0</v>
      </c>
      <c r="N25" s="20" t="n">
        <v>0</v>
      </c>
      <c r="O25" s="18" t="n">
        <v>0</v>
      </c>
      <c r="P25" s="20" t="n">
        <v>0</v>
      </c>
      <c r="Q25" s="18" t="n">
        <v>7.58929057</v>
      </c>
      <c r="R25" s="20" t="n">
        <v>1.41707365</v>
      </c>
    </row>
    <row r="26" spans="1:18">
      <c r="A26" s="15" t="s">
        <v>368</v>
      </c>
      <c r="B26" s="17" t="n">
        <v>2419</v>
      </c>
      <c r="C26" s="18">
        <f>(2107.0/B26*100)</f>
        <v/>
      </c>
      <c r="D26" s="19" t="n">
        <v>312</v>
      </c>
      <c r="E26" s="18" t="n">
        <v>58.67953088</v>
      </c>
      <c r="F26" s="20" t="n">
        <v>2.92023228</v>
      </c>
      <c r="G26" s="18" t="n">
        <v>34.30274142</v>
      </c>
      <c r="H26" s="20" t="n">
        <v>2.80809023</v>
      </c>
      <c r="I26" s="18" t="s">
        <v>349</v>
      </c>
      <c r="J26" s="20" t="s">
        <v>349</v>
      </c>
      <c r="K26" s="18" t="n">
        <v>0</v>
      </c>
      <c r="L26" s="20" t="n">
        <v>0</v>
      </c>
      <c r="M26" s="18" t="n">
        <v>0.81488235</v>
      </c>
      <c r="N26" s="20" t="n">
        <v>0.46606882</v>
      </c>
      <c r="O26" s="18" t="n">
        <v>0</v>
      </c>
      <c r="P26" s="20" t="n">
        <v>0</v>
      </c>
      <c r="Q26" s="18" t="n">
        <v>6.20284535</v>
      </c>
      <c r="R26" s="20" t="n">
        <v>1.21978801</v>
      </c>
    </row>
    <row r="27" spans="1:18">
      <c r="A27" s="15" t="s">
        <v>369</v>
      </c>
      <c r="B27" s="17" t="n">
        <v>2683</v>
      </c>
      <c r="C27" s="18">
        <f>(2355.0/B27*100)</f>
        <v/>
      </c>
      <c r="D27" s="19" t="n">
        <v>328</v>
      </c>
      <c r="E27" s="18" t="n">
        <v>45.02942021</v>
      </c>
      <c r="F27" s="20" t="n">
        <v>2.65342947</v>
      </c>
      <c r="G27" s="18" t="n">
        <v>39.42727296</v>
      </c>
      <c r="H27" s="20" t="n">
        <v>2.60663037</v>
      </c>
      <c r="I27" s="18" t="s">
        <v>349</v>
      </c>
      <c r="J27" s="20" t="s">
        <v>349</v>
      </c>
      <c r="K27" s="18" t="n">
        <v>0</v>
      </c>
      <c r="L27" s="20" t="n">
        <v>0</v>
      </c>
      <c r="M27" s="18" t="n">
        <v>0</v>
      </c>
      <c r="N27" s="20" t="n">
        <v>0</v>
      </c>
      <c r="O27" s="18" t="n">
        <v>0</v>
      </c>
      <c r="P27" s="20" t="n">
        <v>0</v>
      </c>
      <c r="Q27" s="18" t="n">
        <v>15.54330683</v>
      </c>
      <c r="R27" s="20" t="n">
        <v>1.88606449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(2375.0/B29*100)</f>
        <v/>
      </c>
      <c r="D29" s="19" t="n">
        <v>325</v>
      </c>
      <c r="E29" s="18" t="n">
        <v>41.96666982</v>
      </c>
      <c r="F29" s="20" t="n">
        <v>2.46529834</v>
      </c>
      <c r="G29" s="18" t="n">
        <v>50.58296646</v>
      </c>
      <c r="H29" s="20" t="n">
        <v>2.75503453</v>
      </c>
      <c r="I29" s="18" t="s">
        <v>349</v>
      </c>
      <c r="J29" s="20" t="s">
        <v>349</v>
      </c>
      <c r="K29" s="18" t="n">
        <v>0.91563591</v>
      </c>
      <c r="L29" s="20" t="n">
        <v>0.51256934</v>
      </c>
      <c r="M29" s="18" t="n">
        <v>0</v>
      </c>
      <c r="N29" s="20" t="n">
        <v>0</v>
      </c>
      <c r="O29" s="18" t="n">
        <v>0</v>
      </c>
      <c r="P29" s="20" t="n">
        <v>0</v>
      </c>
      <c r="Q29" s="18" t="n">
        <v>6.5347278</v>
      </c>
      <c r="R29" s="20" t="n">
        <v>1.32594277</v>
      </c>
    </row>
    <row r="30" spans="1:18">
      <c r="A30" s="15" t="s">
        <v>372</v>
      </c>
      <c r="B30" s="17" t="n">
        <v>2257</v>
      </c>
      <c r="C30" s="18">
        <f>(1976.0/B30*100)</f>
        <v/>
      </c>
      <c r="D30" s="19" t="n">
        <v>281</v>
      </c>
      <c r="E30" s="18" t="n">
        <v>35.85998698</v>
      </c>
      <c r="F30" s="20" t="n">
        <v>3.02622754</v>
      </c>
      <c r="G30" s="18" t="n">
        <v>49.99654122</v>
      </c>
      <c r="H30" s="20" t="n">
        <v>3.54971353</v>
      </c>
      <c r="I30" s="18" t="s">
        <v>349</v>
      </c>
      <c r="J30" s="20" t="s">
        <v>349</v>
      </c>
      <c r="K30" s="18" t="n">
        <v>0</v>
      </c>
      <c r="L30" s="20" t="n">
        <v>0</v>
      </c>
      <c r="M30" s="18" t="n">
        <v>0</v>
      </c>
      <c r="N30" s="20" t="n">
        <v>0</v>
      </c>
      <c r="O30" s="18" t="n">
        <v>0</v>
      </c>
      <c r="P30" s="20" t="n">
        <v>0</v>
      </c>
      <c r="Q30" s="18" t="n">
        <v>14.1434718</v>
      </c>
      <c r="R30" s="20" t="n">
        <v>2.09935866</v>
      </c>
    </row>
    <row r="31" spans="1:18">
      <c r="A31" s="15" t="s">
        <v>373</v>
      </c>
      <c r="B31" s="17" t="n">
        <v>2706</v>
      </c>
      <c r="C31" s="18">
        <f>(2359.0/B31*100)</f>
        <v/>
      </c>
      <c r="D31" s="19" t="n">
        <v>347</v>
      </c>
      <c r="E31" s="18" t="n">
        <v>42.17941779</v>
      </c>
      <c r="F31" s="20" t="n">
        <v>2.80901341</v>
      </c>
      <c r="G31" s="18" t="n">
        <v>46.36189236</v>
      </c>
      <c r="H31" s="20" t="n">
        <v>3.12262778</v>
      </c>
      <c r="I31" s="18" t="s">
        <v>349</v>
      </c>
      <c r="J31" s="20" t="s">
        <v>349</v>
      </c>
      <c r="K31" s="18" t="n">
        <v>0.27774475</v>
      </c>
      <c r="L31" s="20" t="n">
        <v>0.27354714</v>
      </c>
      <c r="M31" s="18" t="n">
        <v>0</v>
      </c>
      <c r="N31" s="20" t="n">
        <v>0</v>
      </c>
      <c r="O31" s="18" t="n">
        <v>0</v>
      </c>
      <c r="P31" s="20" t="n">
        <v>0</v>
      </c>
      <c r="Q31" s="18" t="n">
        <v>11.1809451</v>
      </c>
      <c r="R31" s="20" t="n">
        <v>1.6542393</v>
      </c>
    </row>
    <row r="32" spans="1:18">
      <c r="A32" s="15" t="s">
        <v>374</v>
      </c>
      <c r="B32" s="17" t="n">
        <v>2209</v>
      </c>
      <c r="C32" s="18">
        <f>(1833.0/B32*100)</f>
        <v/>
      </c>
      <c r="D32" s="19" t="n">
        <v>376</v>
      </c>
      <c r="E32" s="18" t="n">
        <v>52.49776468</v>
      </c>
      <c r="F32" s="20" t="n">
        <v>2.42726285</v>
      </c>
      <c r="G32" s="18" t="n">
        <v>36.62399215</v>
      </c>
      <c r="H32" s="20" t="n">
        <v>2.25041633</v>
      </c>
      <c r="I32" s="18" t="s">
        <v>349</v>
      </c>
      <c r="J32" s="20" t="s">
        <v>349</v>
      </c>
      <c r="K32" s="18" t="n">
        <v>0.27017343</v>
      </c>
      <c r="L32" s="20" t="n">
        <v>0.26940679</v>
      </c>
      <c r="M32" s="18" t="n">
        <v>0.23246044</v>
      </c>
      <c r="N32" s="20" t="n">
        <v>0.23386314</v>
      </c>
      <c r="O32" s="18" t="n">
        <v>0</v>
      </c>
      <c r="P32" s="20" t="n">
        <v>0</v>
      </c>
      <c r="Q32" s="18" t="n">
        <v>10.37560931</v>
      </c>
      <c r="R32" s="20" t="n">
        <v>1.76917138</v>
      </c>
    </row>
    <row r="33" spans="1:18">
      <c r="A33" s="15" t="s">
        <v>375</v>
      </c>
      <c r="B33" s="17" t="n">
        <v>3651</v>
      </c>
      <c r="C33" s="18">
        <f>(3202.0/B33*100)</f>
        <v/>
      </c>
      <c r="D33" s="19" t="n">
        <v>449</v>
      </c>
      <c r="E33" s="18" t="n">
        <v>46.3129186</v>
      </c>
      <c r="F33" s="20" t="n">
        <v>2.42881686</v>
      </c>
      <c r="G33" s="18" t="n">
        <v>35.84988198</v>
      </c>
      <c r="H33" s="20" t="n">
        <v>2.71368652</v>
      </c>
      <c r="I33" s="18" t="s">
        <v>349</v>
      </c>
      <c r="J33" s="20" t="s">
        <v>349</v>
      </c>
      <c r="K33" s="18" t="n">
        <v>0.017266</v>
      </c>
      <c r="L33" s="20" t="n">
        <v>0.01724155</v>
      </c>
      <c r="M33" s="18" t="n">
        <v>0</v>
      </c>
      <c r="N33" s="20" t="n">
        <v>0</v>
      </c>
      <c r="O33" s="18" t="n">
        <v>0</v>
      </c>
      <c r="P33" s="20" t="n">
        <v>0</v>
      </c>
      <c r="Q33" s="18" t="n">
        <v>17.81993342</v>
      </c>
      <c r="R33" s="20" t="n">
        <v>2.18475949</v>
      </c>
    </row>
    <row r="34" spans="1:18">
      <c r="A34" s="15" t="s">
        <v>376</v>
      </c>
      <c r="B34" s="17" t="n">
        <v>3035</v>
      </c>
      <c r="C34" s="18">
        <f>(2643.0/B34*100)</f>
        <v/>
      </c>
      <c r="D34" s="19" t="n">
        <v>392</v>
      </c>
      <c r="E34" s="18" t="n">
        <v>70.08710842000001</v>
      </c>
      <c r="F34" s="20" t="n">
        <v>2.52584445</v>
      </c>
      <c r="G34" s="18" t="n">
        <v>25.07913204</v>
      </c>
      <c r="H34" s="20" t="n">
        <v>2.15233474</v>
      </c>
      <c r="I34" s="18" t="s">
        <v>349</v>
      </c>
      <c r="J34" s="20" t="s">
        <v>349</v>
      </c>
      <c r="K34" s="18" t="n">
        <v>0.22045964</v>
      </c>
      <c r="L34" s="20" t="n">
        <v>0.22996087</v>
      </c>
      <c r="M34" s="18" t="n">
        <v>0</v>
      </c>
      <c r="N34" s="20" t="n">
        <v>0</v>
      </c>
      <c r="O34" s="18" t="n">
        <v>0</v>
      </c>
      <c r="P34" s="20" t="n">
        <v>0</v>
      </c>
      <c r="Q34" s="18" t="n">
        <v>4.61329989</v>
      </c>
      <c r="R34" s="20" t="n">
        <v>1.21260742</v>
      </c>
    </row>
    <row r="35" spans="1:18">
      <c r="A35" s="15" t="s">
        <v>377</v>
      </c>
      <c r="B35" s="17" t="n">
        <v>2901</v>
      </c>
      <c r="C35" s="18">
        <f>(2532.0/B35*100)</f>
        <v/>
      </c>
      <c r="D35" s="19" t="n">
        <v>369</v>
      </c>
      <c r="E35" s="18" t="n">
        <v>48.99973263</v>
      </c>
      <c r="F35" s="20" t="n">
        <v>3.47455682</v>
      </c>
      <c r="G35" s="18" t="n">
        <v>39.15781444</v>
      </c>
      <c r="H35" s="20" t="n">
        <v>3.33667136</v>
      </c>
      <c r="I35" s="18" t="s">
        <v>349</v>
      </c>
      <c r="J35" s="20" t="s">
        <v>349</v>
      </c>
      <c r="K35" s="18" t="n">
        <v>0</v>
      </c>
      <c r="L35" s="20" t="n">
        <v>0</v>
      </c>
      <c r="M35" s="18" t="n">
        <v>0</v>
      </c>
      <c r="N35" s="20" t="n">
        <v>0</v>
      </c>
      <c r="O35" s="18" t="n">
        <v>0</v>
      </c>
      <c r="P35" s="20" t="n">
        <v>0</v>
      </c>
      <c r="Q35" s="18" t="n">
        <v>11.84245293</v>
      </c>
      <c r="R35" s="20" t="n">
        <v>1.81719394</v>
      </c>
    </row>
    <row r="36" spans="1:18">
      <c r="A36" s="15" t="s">
        <v>378</v>
      </c>
      <c r="B36" s="17" t="n">
        <v>3404</v>
      </c>
      <c r="C36" s="18">
        <f>(2990.0/B36*100)</f>
        <v/>
      </c>
      <c r="D36" s="19" t="n">
        <v>414</v>
      </c>
      <c r="E36" s="18" t="n">
        <v>38.67673318</v>
      </c>
      <c r="F36" s="20" t="n">
        <v>2.33404424</v>
      </c>
      <c r="G36" s="18" t="n">
        <v>45.90887789</v>
      </c>
      <c r="H36" s="20" t="n">
        <v>2.68225472</v>
      </c>
      <c r="I36" s="18" t="s">
        <v>349</v>
      </c>
      <c r="J36" s="20" t="s">
        <v>349</v>
      </c>
      <c r="K36" s="18" t="n">
        <v>0.36483527</v>
      </c>
      <c r="L36" s="20" t="n">
        <v>0.36954918</v>
      </c>
      <c r="M36" s="18" t="n">
        <v>0</v>
      </c>
      <c r="N36" s="20" t="n">
        <v>0</v>
      </c>
      <c r="O36" s="18" t="n">
        <v>0</v>
      </c>
      <c r="P36" s="20" t="n">
        <v>0</v>
      </c>
      <c r="Q36" s="18" t="n">
        <v>15.04955367</v>
      </c>
      <c r="R36" s="20" t="n">
        <v>2.07551471</v>
      </c>
    </row>
    <row r="37" spans="1:18">
      <c r="A37" s="15" t="s">
        <v>379</v>
      </c>
      <c r="B37" s="17" t="n">
        <v>2731</v>
      </c>
      <c r="C37" s="18">
        <f>(2397.0/B37*100)</f>
        <v/>
      </c>
      <c r="D37" s="19" t="n">
        <v>334</v>
      </c>
      <c r="E37" s="18" t="n">
        <v>36.97339527</v>
      </c>
      <c r="F37" s="20" t="n">
        <v>2.4684289</v>
      </c>
      <c r="G37" s="18" t="n">
        <v>44.03881162</v>
      </c>
      <c r="H37" s="20" t="n">
        <v>3.15507014</v>
      </c>
      <c r="I37" s="18" t="s">
        <v>349</v>
      </c>
      <c r="J37" s="20" t="s">
        <v>349</v>
      </c>
      <c r="K37" s="18" t="n">
        <v>0</v>
      </c>
      <c r="L37" s="20" t="n">
        <v>0</v>
      </c>
      <c r="M37" s="18" t="n">
        <v>0</v>
      </c>
      <c r="N37" s="20" t="n">
        <v>0</v>
      </c>
      <c r="O37" s="18" t="n">
        <v>0</v>
      </c>
      <c r="P37" s="20" t="n">
        <v>0</v>
      </c>
      <c r="Q37" s="18" t="n">
        <v>18.98779311</v>
      </c>
      <c r="R37" s="20" t="n">
        <v>2.6507068</v>
      </c>
    </row>
    <row r="38" spans="1:18">
      <c r="A38" s="15" t="s">
        <v>380</v>
      </c>
      <c r="B38" s="17" t="n">
        <v>2807</v>
      </c>
      <c r="C38" s="18">
        <f>(2354.0/B38*100)</f>
        <v/>
      </c>
      <c r="D38" s="19" t="n">
        <v>453</v>
      </c>
      <c r="E38" s="18" t="n">
        <v>46.8214146</v>
      </c>
      <c r="F38" s="20" t="n">
        <v>2.73176587</v>
      </c>
      <c r="G38" s="18" t="n">
        <v>43.89028618</v>
      </c>
      <c r="H38" s="20" t="n">
        <v>2.78624757</v>
      </c>
      <c r="I38" s="18" t="s">
        <v>349</v>
      </c>
      <c r="J38" s="20" t="s">
        <v>349</v>
      </c>
      <c r="K38" s="18" t="n">
        <v>0.02878853</v>
      </c>
      <c r="L38" s="20" t="n">
        <v>0.02353073</v>
      </c>
      <c r="M38" s="18" t="n">
        <v>0.30115824</v>
      </c>
      <c r="N38" s="20" t="n">
        <v>0.30426939</v>
      </c>
      <c r="O38" s="18" t="n">
        <v>0</v>
      </c>
      <c r="P38" s="20" t="n">
        <v>0</v>
      </c>
      <c r="Q38" s="18" t="n">
        <v>8.958352440000001</v>
      </c>
      <c r="R38" s="20" t="n">
        <v>1.51246732</v>
      </c>
    </row>
    <row r="39" spans="1:18">
      <c r="A39" s="15" t="s">
        <v>381</v>
      </c>
      <c r="B39" s="17" t="n">
        <v>2938</v>
      </c>
      <c r="C39" s="18">
        <f>(2566.0/B39*100)</f>
        <v/>
      </c>
      <c r="D39" s="19" t="n">
        <v>372</v>
      </c>
      <c r="E39" s="18" t="n">
        <v>70.73823237000001</v>
      </c>
      <c r="F39" s="20" t="n">
        <v>2.31152591</v>
      </c>
      <c r="G39" s="18" t="n">
        <v>15.99306606</v>
      </c>
      <c r="H39" s="20" t="n">
        <v>2.26771915</v>
      </c>
      <c r="I39" s="18" t="s">
        <v>349</v>
      </c>
      <c r="J39" s="20" t="s">
        <v>349</v>
      </c>
      <c r="K39" s="18" t="n">
        <v>0</v>
      </c>
      <c r="L39" s="20" t="n">
        <v>0</v>
      </c>
      <c r="M39" s="18" t="n">
        <v>0</v>
      </c>
      <c r="N39" s="20" t="n">
        <v>0</v>
      </c>
      <c r="O39" s="18" t="n">
        <v>0</v>
      </c>
      <c r="P39" s="20" t="n">
        <v>0</v>
      </c>
      <c r="Q39" s="18" t="n">
        <v>13.26870157</v>
      </c>
      <c r="R39" s="20" t="n">
        <v>1.58187722</v>
      </c>
    </row>
    <row r="40" spans="1:18">
      <c r="A40" s="15" t="s">
        <v>382</v>
      </c>
      <c r="B40" s="17" t="n">
        <v>6922</v>
      </c>
      <c r="C40" s="18">
        <f>(6016.0/B40*100)</f>
        <v/>
      </c>
      <c r="D40" s="19" t="n">
        <v>906</v>
      </c>
      <c r="E40" s="18" t="n">
        <v>43.29599787</v>
      </c>
      <c r="F40" s="20" t="n">
        <v>2.59550505</v>
      </c>
      <c r="G40" s="18" t="n">
        <v>42.9194521</v>
      </c>
      <c r="H40" s="20" t="n">
        <v>2.45568071</v>
      </c>
      <c r="I40" s="18" t="s">
        <v>349</v>
      </c>
      <c r="J40" s="20" t="s">
        <v>349</v>
      </c>
      <c r="K40" s="18" t="n">
        <v>0.15209345</v>
      </c>
      <c r="L40" s="20" t="n">
        <v>0.07777782</v>
      </c>
      <c r="M40" s="18" t="n">
        <v>0</v>
      </c>
      <c r="N40" s="20" t="n">
        <v>0</v>
      </c>
      <c r="O40" s="18" t="n">
        <v>0</v>
      </c>
      <c r="P40" s="20" t="n">
        <v>0</v>
      </c>
      <c r="Q40" s="18" t="n">
        <v>13.63245658</v>
      </c>
      <c r="R40" s="20" t="n">
        <v>1.63290208</v>
      </c>
    </row>
    <row r="41" spans="1:18">
      <c r="A41" s="15" t="s">
        <v>383</v>
      </c>
      <c r="B41" s="17" t="n">
        <v>2854</v>
      </c>
      <c r="C41" s="18">
        <f>(2488.0/B41*100)</f>
        <v/>
      </c>
      <c r="D41" s="19" t="n">
        <v>366</v>
      </c>
      <c r="E41" s="18" t="n">
        <v>72.54192761</v>
      </c>
      <c r="F41" s="20" t="n">
        <v>2.2067352</v>
      </c>
      <c r="G41" s="18" t="n">
        <v>23.63389124</v>
      </c>
      <c r="H41" s="20" t="n">
        <v>1.89905381</v>
      </c>
      <c r="I41" s="18" t="s">
        <v>349</v>
      </c>
      <c r="J41" s="20" t="s">
        <v>349</v>
      </c>
      <c r="K41" s="18" t="n">
        <v>0</v>
      </c>
      <c r="L41" s="20" t="n">
        <v>0</v>
      </c>
      <c r="M41" s="18" t="n">
        <v>0</v>
      </c>
      <c r="N41" s="20" t="n">
        <v>0</v>
      </c>
      <c r="O41" s="18" t="n">
        <v>0</v>
      </c>
      <c r="P41" s="20" t="n">
        <v>0</v>
      </c>
      <c r="Q41" s="18" t="n">
        <v>3.82418115</v>
      </c>
      <c r="R41" s="20" t="n">
        <v>1.18909269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(4110.0/B48*100)</f>
        <v/>
      </c>
      <c r="D48" s="19" t="n">
        <v>572</v>
      </c>
      <c r="E48" s="18" t="n">
        <v>51.45486866</v>
      </c>
      <c r="F48" s="20" t="n">
        <v>2.66112937</v>
      </c>
      <c r="G48" s="18" t="n">
        <v>44.64146252</v>
      </c>
      <c r="H48" s="20" t="n">
        <v>2.66572234</v>
      </c>
      <c r="I48" s="18" t="s">
        <v>349</v>
      </c>
      <c r="J48" s="20" t="s">
        <v>349</v>
      </c>
      <c r="K48" s="18" t="n">
        <v>0.38426997</v>
      </c>
      <c r="L48" s="20" t="n">
        <v>0.32827373</v>
      </c>
      <c r="M48" s="18" t="n">
        <v>0.34060026</v>
      </c>
      <c r="N48" s="20" t="n">
        <v>0.32980743</v>
      </c>
      <c r="O48" s="18" t="n">
        <v>0</v>
      </c>
      <c r="P48" s="20" t="n">
        <v>0</v>
      </c>
      <c r="Q48" s="18" t="n">
        <v>3.17879859</v>
      </c>
      <c r="R48" s="20" t="n">
        <v>0.9077921799999999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(2623.0/B52*100)</f>
        <v/>
      </c>
      <c r="D52" s="19" t="n">
        <v>390</v>
      </c>
      <c r="E52" s="18" t="n">
        <v>50.56134122</v>
      </c>
      <c r="F52" s="20" t="n">
        <v>2.39161127</v>
      </c>
      <c r="G52" s="18" t="n">
        <v>21.08187522</v>
      </c>
      <c r="H52" s="20" t="n">
        <v>1.95713927</v>
      </c>
      <c r="I52" s="18" t="s">
        <v>349</v>
      </c>
      <c r="J52" s="20" t="s">
        <v>349</v>
      </c>
      <c r="K52" s="18" t="n">
        <v>0.72016484</v>
      </c>
      <c r="L52" s="20" t="n">
        <v>0.40152383</v>
      </c>
      <c r="M52" s="18" t="n">
        <v>0</v>
      </c>
      <c r="N52" s="20" t="n">
        <v>0</v>
      </c>
      <c r="O52" s="18" t="n">
        <v>0</v>
      </c>
      <c r="P52" s="20" t="n">
        <v>0</v>
      </c>
      <c r="Q52" s="18" t="n">
        <v>27.63661872</v>
      </c>
      <c r="R52" s="20" t="n">
        <v>2.59475131</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33.36795131</v>
      </c>
      <c r="F56" s="20" t="n">
        <v>2.57970269</v>
      </c>
      <c r="G56" s="18" t="n">
        <v>63.4629624</v>
      </c>
      <c r="H56" s="20" t="n">
        <v>2.95583335</v>
      </c>
      <c r="I56" s="18" t="s">
        <v>349</v>
      </c>
      <c r="J56" s="20" t="s">
        <v>349</v>
      </c>
      <c r="K56" s="18" t="n">
        <v>0</v>
      </c>
      <c r="L56" s="20" t="n">
        <v>0</v>
      </c>
      <c r="M56" s="18" t="n">
        <v>0</v>
      </c>
      <c r="N56" s="20" t="n">
        <v>0</v>
      </c>
      <c r="O56" s="18" t="n">
        <v>0</v>
      </c>
      <c r="P56" s="20" t="n">
        <v>0</v>
      </c>
      <c r="Q56" s="18" t="n">
        <v>3.16908629</v>
      </c>
      <c r="R56" s="20" t="n">
        <v>1.00573014</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(2821.0/B61*100)</f>
        <v/>
      </c>
      <c r="D61" s="19" t="n">
        <v>380</v>
      </c>
      <c r="E61" s="18" t="n">
        <v>62.40403469</v>
      </c>
      <c r="F61" s="20" t="n">
        <v>3.31321503</v>
      </c>
      <c r="G61" s="18" t="n">
        <v>25.43424196</v>
      </c>
      <c r="H61" s="20" t="n">
        <v>3.08470693</v>
      </c>
      <c r="I61" s="18" t="s">
        <v>349</v>
      </c>
      <c r="J61" s="20" t="s">
        <v>349</v>
      </c>
      <c r="K61" s="18" t="n">
        <v>0.26032659</v>
      </c>
      <c r="L61" s="20" t="n">
        <v>0.25137758</v>
      </c>
      <c r="M61" s="18" t="n">
        <v>0</v>
      </c>
      <c r="N61" s="20" t="n">
        <v>0</v>
      </c>
      <c r="O61" s="18" t="n">
        <v>0</v>
      </c>
      <c r="P61" s="20" t="n">
        <v>0</v>
      </c>
      <c r="Q61" s="18" t="n">
        <v>11.90139676</v>
      </c>
      <c r="R61" s="20" t="n">
        <v>1.91503101</v>
      </c>
    </row>
    <row r="62" spans="1:18">
      <c r="A62" s="15" t="s">
        <v>404</v>
      </c>
      <c r="B62" s="17" t="n">
        <v>2230</v>
      </c>
      <c r="C62" s="18">
        <f>(1949.0/B62*100)</f>
        <v/>
      </c>
      <c r="D62" s="19" t="n">
        <v>281</v>
      </c>
      <c r="E62" s="18" t="n">
        <v>50.44475119</v>
      </c>
      <c r="F62" s="20" t="n">
        <v>3.05898981</v>
      </c>
      <c r="G62" s="18" t="n">
        <v>46.68883459</v>
      </c>
      <c r="H62" s="20" t="n">
        <v>3.16078016</v>
      </c>
      <c r="I62" s="18" t="s">
        <v>349</v>
      </c>
      <c r="J62" s="20" t="s">
        <v>349</v>
      </c>
      <c r="K62" s="18" t="n">
        <v>0</v>
      </c>
      <c r="L62" s="20" t="n">
        <v>0</v>
      </c>
      <c r="M62" s="18" t="n">
        <v>0</v>
      </c>
      <c r="N62" s="20" t="n">
        <v>0</v>
      </c>
      <c r="O62" s="18" t="n">
        <v>0</v>
      </c>
      <c r="P62" s="20" t="n">
        <v>0</v>
      </c>
      <c r="Q62" s="18" t="n">
        <v>2.86641422</v>
      </c>
      <c r="R62" s="20" t="n">
        <v>1.00408988</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(2443.0/B66*100)</f>
        <v/>
      </c>
      <c r="D66" s="19" t="n">
        <v>328</v>
      </c>
      <c r="E66" s="18" t="n">
        <v>55.42811021</v>
      </c>
      <c r="F66" s="20" t="n">
        <v>2.74460145</v>
      </c>
      <c r="G66" s="18" t="n">
        <v>16.65128936</v>
      </c>
      <c r="H66" s="20" t="n">
        <v>2.29297363</v>
      </c>
      <c r="I66" s="18" t="s">
        <v>349</v>
      </c>
      <c r="J66" s="20" t="s">
        <v>349</v>
      </c>
      <c r="K66" s="18" t="n">
        <v>0.25229375</v>
      </c>
      <c r="L66" s="20" t="n">
        <v>0.25396802</v>
      </c>
      <c r="M66" s="18" t="n">
        <v>0.5326551899999999</v>
      </c>
      <c r="N66" s="20" t="n">
        <v>0.38053806</v>
      </c>
      <c r="O66" s="18" t="n">
        <v>0</v>
      </c>
      <c r="P66" s="20" t="n">
        <v>0</v>
      </c>
      <c r="Q66" s="18" t="n">
        <v>27.13565149</v>
      </c>
      <c r="R66" s="20" t="n">
        <v>2.50216692</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(5031.0/B68*100)</f>
        <v/>
      </c>
      <c r="D68" s="19" t="n">
        <v>1003</v>
      </c>
      <c r="E68" s="18" t="n">
        <v>68.42338155</v>
      </c>
      <c r="F68" s="20" t="n">
        <v>1.29112819</v>
      </c>
      <c r="G68" s="18" t="n">
        <v>19.27473232</v>
      </c>
      <c r="H68" s="20" t="n">
        <v>1.26989142</v>
      </c>
      <c r="I68" s="18" t="s">
        <v>349</v>
      </c>
      <c r="J68" s="20" t="s">
        <v>349</v>
      </c>
      <c r="K68" s="18" t="n">
        <v>0.48371176</v>
      </c>
      <c r="L68" s="20" t="n">
        <v>0.21624846</v>
      </c>
      <c r="M68" s="18" t="n">
        <v>0.09675889</v>
      </c>
      <c r="N68" s="20" t="n">
        <v>0.0968976</v>
      </c>
      <c r="O68" s="18" t="n">
        <v>0</v>
      </c>
      <c r="P68" s="20" t="n">
        <v>0</v>
      </c>
      <c r="Q68" s="18" t="n">
        <v>11.72141549</v>
      </c>
      <c r="R68" s="20" t="n">
        <v>0.97093295</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(2701.0/B70*100)</f>
        <v/>
      </c>
      <c r="D70" s="19" t="n">
        <v>406</v>
      </c>
      <c r="E70" s="18" t="n">
        <v>53.78296074</v>
      </c>
      <c r="F70" s="20" t="n">
        <v>3.53481178</v>
      </c>
      <c r="G70" s="18" t="n">
        <v>36.0884532</v>
      </c>
      <c r="H70" s="20" t="n">
        <v>2.85665954</v>
      </c>
      <c r="I70" s="18" t="s">
        <v>349</v>
      </c>
      <c r="J70" s="20" t="s">
        <v>349</v>
      </c>
      <c r="K70" s="18" t="n">
        <v>0.26498046</v>
      </c>
      <c r="L70" s="20" t="n">
        <v>0.2620265</v>
      </c>
      <c r="M70" s="18" t="n">
        <v>2.05005819</v>
      </c>
      <c r="N70" s="20" t="n">
        <v>0.53210579</v>
      </c>
      <c r="O70" s="18" t="n">
        <v>0</v>
      </c>
      <c r="P70" s="20" t="n">
        <v>0</v>
      </c>
      <c r="Q70" s="18" t="n">
        <v>7.81354741</v>
      </c>
      <c r="R70" s="20" t="n">
        <v>1.61296497</v>
      </c>
    </row>
    <row r="71" spans="1:18">
      <c r="A71" s="15" t="s">
        <v>413</v>
      </c>
      <c r="B71" s="17" t="n">
        <v>2973</v>
      </c>
      <c r="C71" s="18">
        <f>(2598.0/B71*100)</f>
        <v/>
      </c>
      <c r="D71" s="19" t="n">
        <v>375</v>
      </c>
      <c r="E71" s="18" t="n">
        <v>26.48228422</v>
      </c>
      <c r="F71" s="20" t="n">
        <v>2.45925223</v>
      </c>
      <c r="G71" s="18" t="n">
        <v>69.29232884</v>
      </c>
      <c r="H71" s="20" t="n">
        <v>2.45913137</v>
      </c>
      <c r="I71" s="18" t="s">
        <v>349</v>
      </c>
      <c r="J71" s="20" t="s">
        <v>349</v>
      </c>
      <c r="K71" s="18" t="n">
        <v>0</v>
      </c>
      <c r="L71" s="20" t="n">
        <v>0</v>
      </c>
      <c r="M71" s="18" t="n">
        <v>0</v>
      </c>
      <c r="N71" s="20" t="n">
        <v>0</v>
      </c>
      <c r="O71" s="18" t="n">
        <v>0</v>
      </c>
      <c r="P71" s="20" t="n">
        <v>0</v>
      </c>
      <c r="Q71" s="18" t="n">
        <v>4.22538694</v>
      </c>
      <c r="R71" s="20" t="n">
        <v>0.99014788</v>
      </c>
    </row>
    <row r="72" spans="1:18">
      <c r="A72" s="15" t="s">
        <v>414</v>
      </c>
      <c r="B72" s="17" t="n">
        <v>3819</v>
      </c>
      <c r="C72" s="18">
        <f>(3341.0/B72*100)</f>
        <v/>
      </c>
      <c r="D72" s="19" t="n">
        <v>478</v>
      </c>
      <c r="E72" s="18" t="n">
        <v>35.48390454</v>
      </c>
      <c r="F72" s="20" t="n">
        <v>2.24458932</v>
      </c>
      <c r="G72" s="18" t="n">
        <v>60.04481477</v>
      </c>
      <c r="H72" s="20" t="n">
        <v>2.48286695</v>
      </c>
      <c r="I72" s="18" t="s">
        <v>349</v>
      </c>
      <c r="J72" s="20" t="s">
        <v>349</v>
      </c>
      <c r="K72" s="18" t="n">
        <v>0</v>
      </c>
      <c r="L72" s="20" t="n">
        <v>0</v>
      </c>
      <c r="M72" s="18" t="n">
        <v>0</v>
      </c>
      <c r="N72" s="20" t="n">
        <v>0</v>
      </c>
      <c r="O72" s="18" t="n">
        <v>0</v>
      </c>
      <c r="P72" s="20" t="n">
        <v>0</v>
      </c>
      <c r="Q72" s="18" t="n">
        <v>4.47128068</v>
      </c>
      <c r="R72" s="20" t="n">
        <v>0.8734308200000001</v>
      </c>
    </row>
    <row r="73" spans="1:18">
      <c r="A73" s="15" t="s">
        <v>415</v>
      </c>
      <c r="B73" s="17" t="n">
        <v>4652</v>
      </c>
      <c r="C73" s="18">
        <f>(4093.0/B73*100)</f>
        <v/>
      </c>
      <c r="D73" s="19" t="n">
        <v>559</v>
      </c>
      <c r="E73" s="18" t="n">
        <v>78.69848896000001</v>
      </c>
      <c r="F73" s="20" t="n">
        <v>2.37421755</v>
      </c>
      <c r="G73" s="18" t="n">
        <v>16.01543348</v>
      </c>
      <c r="H73" s="20" t="n">
        <v>2.01576023</v>
      </c>
      <c r="I73" s="18" t="s">
        <v>349</v>
      </c>
      <c r="J73" s="20" t="s">
        <v>349</v>
      </c>
      <c r="K73" s="18" t="n">
        <v>0</v>
      </c>
      <c r="L73" s="20" t="n">
        <v>0</v>
      </c>
      <c r="M73" s="18" t="n">
        <v>0.35070889</v>
      </c>
      <c r="N73" s="20" t="n">
        <v>0.36451602</v>
      </c>
      <c r="O73" s="18" t="n">
        <v>0</v>
      </c>
      <c r="P73" s="20" t="n">
        <v>0</v>
      </c>
      <c r="Q73" s="18" t="n">
        <v>4.93536867</v>
      </c>
      <c r="R73" s="20" t="n">
        <v>1.38330976</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(4102.0/B81*100)</f>
        <v/>
      </c>
      <c r="D81" s="19" t="n">
        <v>596</v>
      </c>
      <c r="E81" s="18" t="n">
        <v>48.76162701</v>
      </c>
      <c r="F81" s="20" t="n">
        <v>2.87791435</v>
      </c>
      <c r="G81" s="18" t="n">
        <v>47.93018565</v>
      </c>
      <c r="H81" s="20" t="n">
        <v>2.81063428</v>
      </c>
      <c r="I81" s="18" t="s">
        <v>349</v>
      </c>
      <c r="J81" s="20" t="s">
        <v>349</v>
      </c>
      <c r="K81" s="18" t="n">
        <v>0</v>
      </c>
      <c r="L81" s="20" t="n">
        <v>0</v>
      </c>
      <c r="M81" s="18" t="n">
        <v>0</v>
      </c>
      <c r="N81" s="20" t="n">
        <v>0</v>
      </c>
      <c r="O81" s="18" t="n">
        <v>0</v>
      </c>
      <c r="P81" s="20" t="n">
        <v>0</v>
      </c>
      <c r="Q81" s="18" t="n">
        <v>3.30818734</v>
      </c>
      <c r="R81" s="20" t="n">
        <v>1.01565877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(6288.0/B7*100)</f>
        <v/>
      </c>
      <c r="D7" s="19" t="n">
        <v>875</v>
      </c>
      <c r="E7" s="18" t="n">
        <v>17.20449684</v>
      </c>
      <c r="F7" s="20" t="n">
        <v>1.42344652</v>
      </c>
      <c r="G7" s="18" t="n">
        <v>81.84782894</v>
      </c>
      <c r="H7" s="20" t="n">
        <v>1.4765729</v>
      </c>
      <c r="I7" s="18" t="s">
        <v>349</v>
      </c>
      <c r="J7" s="20" t="s">
        <v>349</v>
      </c>
      <c r="K7" s="18" t="n">
        <v>0.11657561</v>
      </c>
      <c r="L7" s="20" t="n">
        <v>0.08561325</v>
      </c>
      <c r="M7" s="18" t="n">
        <v>0</v>
      </c>
      <c r="N7" s="20" t="n">
        <v>0</v>
      </c>
      <c r="O7" s="18" t="n">
        <v>0</v>
      </c>
      <c r="P7" s="20" t="n">
        <v>0</v>
      </c>
      <c r="Q7" s="18" t="n">
        <v>0.83109861</v>
      </c>
      <c r="R7" s="20" t="n">
        <v>0.28035157</v>
      </c>
    </row>
    <row r="8" spans="1:18">
      <c r="A8" s="15" t="s">
        <v>350</v>
      </c>
      <c r="B8" s="17" t="n">
        <v>3443</v>
      </c>
      <c r="C8" s="18">
        <f>(3012.0/B8*100)</f>
        <v/>
      </c>
      <c r="D8" s="19" t="n">
        <v>431</v>
      </c>
      <c r="E8" s="18" t="n">
        <v>13.4414697</v>
      </c>
      <c r="F8" s="20" t="n">
        <v>2.00933928</v>
      </c>
      <c r="G8" s="18" t="n">
        <v>84.07517549000001</v>
      </c>
      <c r="H8" s="20" t="n">
        <v>2.22908764</v>
      </c>
      <c r="I8" s="18" t="s">
        <v>349</v>
      </c>
      <c r="J8" s="20" t="s">
        <v>349</v>
      </c>
      <c r="K8" s="18" t="n">
        <v>0</v>
      </c>
      <c r="L8" s="20" t="n">
        <v>0</v>
      </c>
      <c r="M8" s="18" t="n">
        <v>0</v>
      </c>
      <c r="N8" s="20" t="n">
        <v>0</v>
      </c>
      <c r="O8" s="18" t="n">
        <v>0</v>
      </c>
      <c r="P8" s="20" t="n">
        <v>0</v>
      </c>
      <c r="Q8" s="18" t="n">
        <v>2.48335481</v>
      </c>
      <c r="R8" s="20" t="n">
        <v>1.30086301</v>
      </c>
    </row>
    <row r="9" spans="1:18">
      <c r="A9" s="15" t="s">
        <v>351</v>
      </c>
      <c r="B9" s="17" t="n">
        <v>4752</v>
      </c>
      <c r="C9" s="18">
        <f>(4164.0/B9*100)</f>
        <v/>
      </c>
      <c r="D9" s="19" t="n">
        <v>588</v>
      </c>
      <c r="E9" s="18" t="n">
        <v>17.39310949</v>
      </c>
      <c r="F9" s="20" t="n">
        <v>1.55628946</v>
      </c>
      <c r="G9" s="18" t="n">
        <v>80.89605657</v>
      </c>
      <c r="H9" s="20" t="n">
        <v>1.57053478</v>
      </c>
      <c r="I9" s="18" t="s">
        <v>349</v>
      </c>
      <c r="J9" s="20" t="s">
        <v>349</v>
      </c>
      <c r="K9" s="18" t="n">
        <v>0.18824421</v>
      </c>
      <c r="L9" s="20" t="n">
        <v>0.19508624</v>
      </c>
      <c r="M9" s="18" t="n">
        <v>0</v>
      </c>
      <c r="N9" s="20" t="n">
        <v>0</v>
      </c>
      <c r="O9" s="18" t="n">
        <v>0</v>
      </c>
      <c r="P9" s="20" t="n">
        <v>0</v>
      </c>
      <c r="Q9" s="18" t="n">
        <v>1.52258973</v>
      </c>
      <c r="R9" s="20" t="n">
        <v>0.72756964</v>
      </c>
    </row>
    <row r="10" spans="1:18">
      <c r="A10" s="15" t="s">
        <v>352</v>
      </c>
      <c r="B10" s="17" t="n">
        <v>10022</v>
      </c>
      <c r="C10" s="18">
        <f>(8795.0/B10*100)</f>
        <v/>
      </c>
      <c r="D10" s="19" t="n">
        <v>1227</v>
      </c>
      <c r="E10" s="18" t="n">
        <v>13.61928099</v>
      </c>
      <c r="F10" s="20" t="n">
        <v>1.24104877</v>
      </c>
      <c r="G10" s="18" t="n">
        <v>85.14843946000001</v>
      </c>
      <c r="H10" s="20" t="n">
        <v>1.42021348</v>
      </c>
      <c r="I10" s="18" t="s">
        <v>349</v>
      </c>
      <c r="J10" s="20" t="s">
        <v>349</v>
      </c>
      <c r="K10" s="18" t="n">
        <v>0.27898525</v>
      </c>
      <c r="L10" s="20" t="n">
        <v>0.22200852</v>
      </c>
      <c r="M10" s="18" t="n">
        <v>0</v>
      </c>
      <c r="N10" s="20" t="n">
        <v>0</v>
      </c>
      <c r="O10" s="18" t="n">
        <v>0</v>
      </c>
      <c r="P10" s="20" t="n">
        <v>0</v>
      </c>
      <c r="Q10" s="18" t="n">
        <v>0.95329431</v>
      </c>
      <c r="R10" s="20" t="n">
        <v>0.43618919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(3008.0/B12*100)</f>
        <v/>
      </c>
      <c r="D12" s="19" t="n">
        <v>414</v>
      </c>
      <c r="E12" s="18" t="n">
        <v>16.20935527</v>
      </c>
      <c r="F12" s="20" t="n">
        <v>2.05072887</v>
      </c>
      <c r="G12" s="18" t="n">
        <v>82.77779294</v>
      </c>
      <c r="H12" s="20" t="n">
        <v>1.9932929</v>
      </c>
      <c r="I12" s="18" t="s">
        <v>349</v>
      </c>
      <c r="J12" s="20" t="s">
        <v>349</v>
      </c>
      <c r="K12" s="18" t="n">
        <v>0</v>
      </c>
      <c r="L12" s="20" t="n">
        <v>0</v>
      </c>
      <c r="M12" s="18" t="n">
        <v>0</v>
      </c>
      <c r="N12" s="20" t="n">
        <v>0</v>
      </c>
      <c r="O12" s="18" t="n">
        <v>0</v>
      </c>
      <c r="P12" s="20" t="n">
        <v>0</v>
      </c>
      <c r="Q12" s="18" t="n">
        <v>1.0128518</v>
      </c>
      <c r="R12" s="20" t="n">
        <v>0.57315097</v>
      </c>
    </row>
    <row r="13" spans="1:18">
      <c r="A13" s="15" t="s">
        <v>355</v>
      </c>
      <c r="B13" s="17" t="n">
        <v>3602</v>
      </c>
      <c r="C13" s="18">
        <f>(3184.0/B13*100)</f>
        <v/>
      </c>
      <c r="D13" s="19" t="n">
        <v>418</v>
      </c>
      <c r="E13" s="18" t="n">
        <v>9.67177965</v>
      </c>
      <c r="F13" s="20" t="n">
        <v>1.66948982</v>
      </c>
      <c r="G13" s="18" t="n">
        <v>89.47777288</v>
      </c>
      <c r="H13" s="20" t="n">
        <v>1.71044315</v>
      </c>
      <c r="I13" s="18" t="s">
        <v>349</v>
      </c>
      <c r="J13" s="20" t="s">
        <v>349</v>
      </c>
      <c r="K13" s="18" t="n">
        <v>0.36826499</v>
      </c>
      <c r="L13" s="20" t="n">
        <v>0.22673353</v>
      </c>
      <c r="M13" s="18" t="n">
        <v>0</v>
      </c>
      <c r="N13" s="20" t="n">
        <v>0</v>
      </c>
      <c r="O13" s="18" t="n">
        <v>0</v>
      </c>
      <c r="P13" s="20" t="n">
        <v>0</v>
      </c>
      <c r="Q13" s="18" t="n">
        <v>0.48218247</v>
      </c>
      <c r="R13" s="20" t="n">
        <v>0.32962213</v>
      </c>
    </row>
    <row r="14" spans="1:18">
      <c r="A14" s="15" t="s">
        <v>356</v>
      </c>
      <c r="B14" s="17" t="n">
        <v>2788</v>
      </c>
      <c r="C14" s="18">
        <f>(2453.0/B14*100)</f>
        <v/>
      </c>
      <c r="D14" s="19" t="n">
        <v>335</v>
      </c>
      <c r="E14" s="18" t="n">
        <v>9.859353629999999</v>
      </c>
      <c r="F14" s="20" t="n">
        <v>1.64731669</v>
      </c>
      <c r="G14" s="18" t="n">
        <v>90.14064637</v>
      </c>
      <c r="H14" s="20" t="n">
        <v>1.64731669</v>
      </c>
      <c r="I14" s="18" t="s">
        <v>349</v>
      </c>
      <c r="J14" s="20" t="s">
        <v>349</v>
      </c>
      <c r="K14" s="18" t="n">
        <v>0</v>
      </c>
      <c r="L14" s="20" t="n">
        <v>0</v>
      </c>
      <c r="M14" s="18" t="n">
        <v>0</v>
      </c>
      <c r="N14" s="20" t="n">
        <v>0</v>
      </c>
      <c r="O14" s="18" t="n">
        <v>0</v>
      </c>
      <c r="P14" s="20" t="n">
        <v>0</v>
      </c>
      <c r="Q14" s="18" t="n">
        <v>0</v>
      </c>
      <c r="R14" s="20" t="n">
        <v>0</v>
      </c>
    </row>
    <row r="15" spans="1:18">
      <c r="A15" s="15" t="s">
        <v>357</v>
      </c>
      <c r="B15" s="17" t="n">
        <v>2863</v>
      </c>
      <c r="C15" s="18">
        <f>(2512.0/B15*100)</f>
        <v/>
      </c>
      <c r="D15" s="19" t="n">
        <v>351</v>
      </c>
      <c r="E15" s="18" t="n">
        <v>7.59715812</v>
      </c>
      <c r="F15" s="20" t="n">
        <v>1.30232541</v>
      </c>
      <c r="G15" s="18" t="n">
        <v>90.42374753</v>
      </c>
      <c r="H15" s="20" t="n">
        <v>1.45115801</v>
      </c>
      <c r="I15" s="18" t="s">
        <v>349</v>
      </c>
      <c r="J15" s="20" t="s">
        <v>349</v>
      </c>
      <c r="K15" s="18" t="n">
        <v>0.58681116</v>
      </c>
      <c r="L15" s="20" t="n">
        <v>0.3979958</v>
      </c>
      <c r="M15" s="18" t="n">
        <v>0</v>
      </c>
      <c r="N15" s="20" t="n">
        <v>0</v>
      </c>
      <c r="O15" s="18" t="n">
        <v>0</v>
      </c>
      <c r="P15" s="20" t="n">
        <v>0</v>
      </c>
      <c r="Q15" s="18" t="n">
        <v>1.39228319</v>
      </c>
      <c r="R15" s="20" t="n">
        <v>0.62419012</v>
      </c>
    </row>
    <row r="16" spans="1:18">
      <c r="A16" s="15" t="s">
        <v>358</v>
      </c>
      <c r="B16" s="17" t="n">
        <v>3111</v>
      </c>
      <c r="C16" s="18">
        <f>(2735.0/B16*100)</f>
        <v/>
      </c>
      <c r="D16" s="19" t="n">
        <v>376</v>
      </c>
      <c r="E16" s="18" t="n">
        <v>16.63101699</v>
      </c>
      <c r="F16" s="20" t="n">
        <v>1.88206241</v>
      </c>
      <c r="G16" s="18" t="n">
        <v>81.95458884999999</v>
      </c>
      <c r="H16" s="20" t="n">
        <v>1.93777459</v>
      </c>
      <c r="I16" s="18" t="s">
        <v>349</v>
      </c>
      <c r="J16" s="20" t="s">
        <v>349</v>
      </c>
      <c r="K16" s="18" t="n">
        <v>0</v>
      </c>
      <c r="L16" s="20" t="n">
        <v>0</v>
      </c>
      <c r="M16" s="18" t="n">
        <v>0</v>
      </c>
      <c r="N16" s="20" t="n">
        <v>0</v>
      </c>
      <c r="O16" s="18" t="n">
        <v>0</v>
      </c>
      <c r="P16" s="20" t="n">
        <v>0</v>
      </c>
      <c r="Q16" s="18" t="n">
        <v>1.41439416</v>
      </c>
      <c r="R16" s="20" t="n">
        <v>0.48210585</v>
      </c>
    </row>
    <row r="17" spans="1:18">
      <c r="A17" s="15" t="s">
        <v>359</v>
      </c>
      <c r="B17" s="17" t="n">
        <v>3197</v>
      </c>
      <c r="C17" s="18">
        <f>(2793.0/B17*100)</f>
        <v/>
      </c>
      <c r="D17" s="19" t="n">
        <v>404</v>
      </c>
      <c r="E17" s="18" t="n">
        <v>8.51627381</v>
      </c>
      <c r="F17" s="20" t="n">
        <v>1.20412555</v>
      </c>
      <c r="G17" s="18" t="n">
        <v>89.84904688</v>
      </c>
      <c r="H17" s="20" t="n">
        <v>1.34813574</v>
      </c>
      <c r="I17" s="18" t="s">
        <v>349</v>
      </c>
      <c r="J17" s="20" t="s">
        <v>349</v>
      </c>
      <c r="K17" s="18" t="n">
        <v>0.53626224</v>
      </c>
      <c r="L17" s="20" t="n">
        <v>0.37665912</v>
      </c>
      <c r="M17" s="18" t="n">
        <v>0</v>
      </c>
      <c r="N17" s="20" t="n">
        <v>0</v>
      </c>
      <c r="O17" s="18" t="n">
        <v>0</v>
      </c>
      <c r="P17" s="20" t="n">
        <v>0</v>
      </c>
      <c r="Q17" s="18" t="n">
        <v>1.09841707</v>
      </c>
      <c r="R17" s="20" t="n">
        <v>0.45994562</v>
      </c>
    </row>
    <row r="18" spans="1:18">
      <c r="A18" s="15" t="s">
        <v>360</v>
      </c>
      <c r="B18" s="17" t="n">
        <v>2706</v>
      </c>
      <c r="C18" s="18">
        <f>(2390.0/B18*100)</f>
        <v/>
      </c>
      <c r="D18" s="19" t="n">
        <v>316</v>
      </c>
      <c r="E18" s="18" t="n">
        <v>28.07612716</v>
      </c>
      <c r="F18" s="20" t="n">
        <v>3.12475149</v>
      </c>
      <c r="G18" s="18" t="n">
        <v>70.31239827</v>
      </c>
      <c r="H18" s="20" t="n">
        <v>3.10902774</v>
      </c>
      <c r="I18" s="18" t="s">
        <v>349</v>
      </c>
      <c r="J18" s="20" t="s">
        <v>349</v>
      </c>
      <c r="K18" s="18" t="n">
        <v>0.84167168</v>
      </c>
      <c r="L18" s="20" t="n">
        <v>0.8418707600000001</v>
      </c>
      <c r="M18" s="18" t="n">
        <v>0</v>
      </c>
      <c r="N18" s="20" t="n">
        <v>0</v>
      </c>
      <c r="O18" s="18" t="n">
        <v>0</v>
      </c>
      <c r="P18" s="20" t="n">
        <v>0</v>
      </c>
      <c r="Q18" s="18" t="n">
        <v>0.76980289</v>
      </c>
      <c r="R18" s="20" t="n">
        <v>0.56050867</v>
      </c>
    </row>
    <row r="19" spans="1:18">
      <c r="A19" s="15" t="s">
        <v>361</v>
      </c>
      <c r="B19" s="17" t="n">
        <v>2850</v>
      </c>
      <c r="C19" s="18">
        <f>(2511.0/B19*100)</f>
        <v/>
      </c>
      <c r="D19" s="19" t="n">
        <v>339</v>
      </c>
      <c r="E19" s="18" t="n">
        <v>20.42903556</v>
      </c>
      <c r="F19" s="20" t="n">
        <v>2.61213411</v>
      </c>
      <c r="G19" s="18" t="n">
        <v>78.29048639</v>
      </c>
      <c r="H19" s="20" t="n">
        <v>2.62563749</v>
      </c>
      <c r="I19" s="18" t="s">
        <v>349</v>
      </c>
      <c r="J19" s="20" t="s">
        <v>349</v>
      </c>
      <c r="K19" s="18" t="n">
        <v>0</v>
      </c>
      <c r="L19" s="20" t="n">
        <v>0</v>
      </c>
      <c r="M19" s="18" t="n">
        <v>0</v>
      </c>
      <c r="N19" s="20" t="n">
        <v>0</v>
      </c>
      <c r="O19" s="18" t="n">
        <v>0</v>
      </c>
      <c r="P19" s="20" t="n">
        <v>0</v>
      </c>
      <c r="Q19" s="18" t="n">
        <v>1.28047805</v>
      </c>
      <c r="R19" s="20" t="n">
        <v>0.65235203</v>
      </c>
    </row>
    <row r="20" spans="1:18">
      <c r="A20" s="15" t="s">
        <v>362</v>
      </c>
      <c r="B20" s="17" t="n">
        <v>1741</v>
      </c>
      <c r="C20" s="18">
        <f>(1523.0/B20*100)</f>
        <v/>
      </c>
      <c r="D20" s="19" t="n">
        <v>218</v>
      </c>
      <c r="E20" s="18" t="n">
        <v>11.2439627</v>
      </c>
      <c r="F20" s="20" t="n">
        <v>2.15911376</v>
      </c>
      <c r="G20" s="18" t="n">
        <v>85.94964238999999</v>
      </c>
      <c r="H20" s="20" t="n">
        <v>2.44094085</v>
      </c>
      <c r="I20" s="18" t="s">
        <v>349</v>
      </c>
      <c r="J20" s="20" t="s">
        <v>349</v>
      </c>
      <c r="K20" s="18" t="n">
        <v>0.5317137199999999</v>
      </c>
      <c r="L20" s="20" t="n">
        <v>0.52071109</v>
      </c>
      <c r="M20" s="18" t="n">
        <v>0</v>
      </c>
      <c r="N20" s="20" t="n">
        <v>0</v>
      </c>
      <c r="O20" s="18" t="n">
        <v>0</v>
      </c>
      <c r="P20" s="20" t="n">
        <v>0</v>
      </c>
      <c r="Q20" s="18" t="n">
        <v>2.27468119</v>
      </c>
      <c r="R20" s="20" t="n">
        <v>1.02288771</v>
      </c>
    </row>
    <row r="21" spans="1:18">
      <c r="A21" s="15" t="s">
        <v>363</v>
      </c>
      <c r="B21" s="17" t="n">
        <v>2833</v>
      </c>
      <c r="C21" s="18">
        <f>(2380.0/B21*100)</f>
        <v/>
      </c>
      <c r="D21" s="19" t="n">
        <v>453</v>
      </c>
      <c r="E21" s="18" t="n">
        <v>11.40558037</v>
      </c>
      <c r="F21" s="20" t="n">
        <v>1.40894218</v>
      </c>
      <c r="G21" s="18" t="n">
        <v>87.41865882</v>
      </c>
      <c r="H21" s="20" t="n">
        <v>1.55941154</v>
      </c>
      <c r="I21" s="18" t="s">
        <v>349</v>
      </c>
      <c r="J21" s="20" t="s">
        <v>349</v>
      </c>
      <c r="K21" s="18" t="n">
        <v>0.16175137</v>
      </c>
      <c r="L21" s="20" t="n">
        <v>0.16098564</v>
      </c>
      <c r="M21" s="18" t="n">
        <v>0</v>
      </c>
      <c r="N21" s="20" t="n">
        <v>0</v>
      </c>
      <c r="O21" s="18" t="n">
        <v>0</v>
      </c>
      <c r="P21" s="20" t="n">
        <v>0</v>
      </c>
      <c r="Q21" s="18" t="n">
        <v>1.01400944</v>
      </c>
      <c r="R21" s="20" t="n">
        <v>0.53262917</v>
      </c>
    </row>
    <row r="22" spans="1:18">
      <c r="A22" s="15" t="s">
        <v>364</v>
      </c>
      <c r="B22" s="17" t="n">
        <v>3667</v>
      </c>
      <c r="C22" s="18">
        <f>(3278.0/B22*100)</f>
        <v/>
      </c>
      <c r="D22" s="19" t="n">
        <v>389</v>
      </c>
      <c r="E22" s="18" t="n">
        <v>31.71413</v>
      </c>
      <c r="F22" s="20" t="n">
        <v>3.06779597</v>
      </c>
      <c r="G22" s="18" t="n">
        <v>67.81626332</v>
      </c>
      <c r="H22" s="20" t="n">
        <v>3.05881687</v>
      </c>
      <c r="I22" s="18" t="s">
        <v>349</v>
      </c>
      <c r="J22" s="20" t="s">
        <v>349</v>
      </c>
      <c r="K22" s="18" t="n">
        <v>0</v>
      </c>
      <c r="L22" s="20" t="n">
        <v>0</v>
      </c>
      <c r="M22" s="18" t="n">
        <v>0</v>
      </c>
      <c r="N22" s="20" t="n">
        <v>0</v>
      </c>
      <c r="O22" s="18" t="n">
        <v>0</v>
      </c>
      <c r="P22" s="20" t="n">
        <v>0</v>
      </c>
      <c r="Q22" s="18" t="n">
        <v>0.46960668</v>
      </c>
      <c r="R22" s="20" t="n">
        <v>0.04020896</v>
      </c>
    </row>
    <row r="23" spans="1:18">
      <c r="A23" s="15" t="s">
        <v>365</v>
      </c>
      <c r="B23" s="17" t="n">
        <v>5792</v>
      </c>
      <c r="C23" s="18">
        <f>(5076.0/B23*100)</f>
        <v/>
      </c>
      <c r="D23" s="19" t="n">
        <v>716</v>
      </c>
      <c r="E23" s="18" t="n">
        <v>14.43664639</v>
      </c>
      <c r="F23" s="20" t="n">
        <v>1.94120231</v>
      </c>
      <c r="G23" s="18" t="n">
        <v>84.48527049</v>
      </c>
      <c r="H23" s="20" t="n">
        <v>1.98127847</v>
      </c>
      <c r="I23" s="18" t="s">
        <v>349</v>
      </c>
      <c r="J23" s="20" t="s">
        <v>349</v>
      </c>
      <c r="K23" s="18" t="n">
        <v>0.14507178</v>
      </c>
      <c r="L23" s="20" t="n">
        <v>0.14765768</v>
      </c>
      <c r="M23" s="18" t="n">
        <v>0</v>
      </c>
      <c r="N23" s="20" t="n">
        <v>0</v>
      </c>
      <c r="O23" s="18" t="n">
        <v>0</v>
      </c>
      <c r="P23" s="20" t="n">
        <v>0</v>
      </c>
      <c r="Q23" s="18" t="n">
        <v>0.93301134</v>
      </c>
      <c r="R23" s="20" t="n">
        <v>0.51541293</v>
      </c>
    </row>
    <row r="24" spans="1:18">
      <c r="A24" s="15" t="s">
        <v>366</v>
      </c>
      <c r="B24" s="17" t="n">
        <v>3309</v>
      </c>
      <c r="C24" s="18">
        <f>(2931.0/B24*100)</f>
        <v/>
      </c>
      <c r="D24" s="19" t="n">
        <v>378</v>
      </c>
      <c r="E24" s="18" t="n">
        <v>11.24149005</v>
      </c>
      <c r="F24" s="20" t="n">
        <v>1.60155934</v>
      </c>
      <c r="G24" s="18" t="n">
        <v>87.47514751</v>
      </c>
      <c r="H24" s="20" t="n">
        <v>1.73325076</v>
      </c>
      <c r="I24" s="18" t="s">
        <v>349</v>
      </c>
      <c r="J24" s="20" t="s">
        <v>349</v>
      </c>
      <c r="K24" s="18" t="n">
        <v>0</v>
      </c>
      <c r="L24" s="20" t="n">
        <v>0</v>
      </c>
      <c r="M24" s="18" t="n">
        <v>0</v>
      </c>
      <c r="N24" s="20" t="n">
        <v>0</v>
      </c>
      <c r="O24" s="18" t="n">
        <v>0</v>
      </c>
      <c r="P24" s="20" t="n">
        <v>0</v>
      </c>
      <c r="Q24" s="18" t="n">
        <v>1.28336244</v>
      </c>
      <c r="R24" s="20" t="n">
        <v>0.56408441</v>
      </c>
    </row>
    <row r="25" spans="1:18">
      <c r="A25" s="15" t="s">
        <v>367</v>
      </c>
      <c r="B25" s="17" t="n">
        <v>2669</v>
      </c>
      <c r="C25" s="18">
        <f>(2360.0/B25*100)</f>
        <v/>
      </c>
      <c r="D25" s="19" t="n">
        <v>309</v>
      </c>
      <c r="E25" s="18" t="n">
        <v>12.88781239</v>
      </c>
      <c r="F25" s="20" t="n">
        <v>2.23625683</v>
      </c>
      <c r="G25" s="18" t="n">
        <v>86.15988813</v>
      </c>
      <c r="H25" s="20" t="n">
        <v>2.23594207</v>
      </c>
      <c r="I25" s="18" t="s">
        <v>349</v>
      </c>
      <c r="J25" s="20" t="s">
        <v>349</v>
      </c>
      <c r="K25" s="18" t="n">
        <v>0</v>
      </c>
      <c r="L25" s="20" t="n">
        <v>0</v>
      </c>
      <c r="M25" s="18" t="n">
        <v>0</v>
      </c>
      <c r="N25" s="20" t="n">
        <v>0</v>
      </c>
      <c r="O25" s="18" t="n">
        <v>0</v>
      </c>
      <c r="P25" s="20" t="n">
        <v>0</v>
      </c>
      <c r="Q25" s="18" t="n">
        <v>0.95229948</v>
      </c>
      <c r="R25" s="20" t="n">
        <v>0.53290296</v>
      </c>
    </row>
    <row r="26" spans="1:18">
      <c r="A26" s="15" t="s">
        <v>368</v>
      </c>
      <c r="B26" s="17" t="n">
        <v>2419</v>
      </c>
      <c r="C26" s="18">
        <f>(2107.0/B26*100)</f>
        <v/>
      </c>
      <c r="D26" s="19" t="n">
        <v>312</v>
      </c>
      <c r="E26" s="18" t="n">
        <v>16.45051324</v>
      </c>
      <c r="F26" s="20" t="n">
        <v>2.28454139</v>
      </c>
      <c r="G26" s="18" t="n">
        <v>82.98469998</v>
      </c>
      <c r="H26" s="20" t="n">
        <v>2.35962849</v>
      </c>
      <c r="I26" s="18" t="s">
        <v>349</v>
      </c>
      <c r="J26" s="20" t="s">
        <v>349</v>
      </c>
      <c r="K26" s="18" t="n">
        <v>0.24493617</v>
      </c>
      <c r="L26" s="20" t="n">
        <v>0.2438561</v>
      </c>
      <c r="M26" s="18" t="n">
        <v>0</v>
      </c>
      <c r="N26" s="20" t="n">
        <v>0</v>
      </c>
      <c r="O26" s="18" t="n">
        <v>0</v>
      </c>
      <c r="P26" s="20" t="n">
        <v>0</v>
      </c>
      <c r="Q26" s="18" t="n">
        <v>0.31985062</v>
      </c>
      <c r="R26" s="20" t="n">
        <v>0.31335469</v>
      </c>
    </row>
    <row r="27" spans="1:18">
      <c r="A27" s="15" t="s">
        <v>369</v>
      </c>
      <c r="B27" s="17" t="n">
        <v>2683</v>
      </c>
      <c r="C27" s="18">
        <f>(2355.0/B27*100)</f>
        <v/>
      </c>
      <c r="D27" s="19" t="n">
        <v>328</v>
      </c>
      <c r="E27" s="18" t="n">
        <v>16.53684418</v>
      </c>
      <c r="F27" s="20" t="n">
        <v>2.03161167</v>
      </c>
      <c r="G27" s="18" t="n">
        <v>82.22769166</v>
      </c>
      <c r="H27" s="20" t="n">
        <v>2.17003879</v>
      </c>
      <c r="I27" s="18" t="s">
        <v>349</v>
      </c>
      <c r="J27" s="20" t="s">
        <v>349</v>
      </c>
      <c r="K27" s="18" t="n">
        <v>0</v>
      </c>
      <c r="L27" s="20" t="n">
        <v>0</v>
      </c>
      <c r="M27" s="18" t="n">
        <v>0</v>
      </c>
      <c r="N27" s="20" t="n">
        <v>0</v>
      </c>
      <c r="O27" s="18" t="n">
        <v>0</v>
      </c>
      <c r="P27" s="20" t="n">
        <v>0</v>
      </c>
      <c r="Q27" s="18" t="n">
        <v>1.23546416</v>
      </c>
      <c r="R27" s="20" t="n">
        <v>0.74580852</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(2375.0/B29*100)</f>
        <v/>
      </c>
      <c r="D29" s="19" t="n">
        <v>325</v>
      </c>
      <c r="E29" s="18" t="n">
        <v>11.29289459</v>
      </c>
      <c r="F29" s="20" t="n">
        <v>1.96444014</v>
      </c>
      <c r="G29" s="18" t="n">
        <v>87.45746502999999</v>
      </c>
      <c r="H29" s="20" t="n">
        <v>2.11300564</v>
      </c>
      <c r="I29" s="18" t="s">
        <v>349</v>
      </c>
      <c r="J29" s="20" t="s">
        <v>349</v>
      </c>
      <c r="K29" s="18" t="n">
        <v>0.91563591</v>
      </c>
      <c r="L29" s="20" t="n">
        <v>0.51256934</v>
      </c>
      <c r="M29" s="18" t="n">
        <v>0</v>
      </c>
      <c r="N29" s="20" t="n">
        <v>0</v>
      </c>
      <c r="O29" s="18" t="n">
        <v>0</v>
      </c>
      <c r="P29" s="20" t="n">
        <v>0</v>
      </c>
      <c r="Q29" s="18" t="n">
        <v>0.33400447</v>
      </c>
      <c r="R29" s="20" t="n">
        <v>0.37002363</v>
      </c>
    </row>
    <row r="30" spans="1:18">
      <c r="A30" s="15" t="s">
        <v>372</v>
      </c>
      <c r="B30" s="17" t="n">
        <v>2257</v>
      </c>
      <c r="C30" s="18">
        <f>(1976.0/B30*100)</f>
        <v/>
      </c>
      <c r="D30" s="19" t="n">
        <v>281</v>
      </c>
      <c r="E30" s="18" t="n">
        <v>13.3868949</v>
      </c>
      <c r="F30" s="20" t="n">
        <v>2.31558439</v>
      </c>
      <c r="G30" s="18" t="n">
        <v>84.77685544000001</v>
      </c>
      <c r="H30" s="20" t="n">
        <v>2.3871249</v>
      </c>
      <c r="I30" s="18" t="s">
        <v>349</v>
      </c>
      <c r="J30" s="20" t="s">
        <v>349</v>
      </c>
      <c r="K30" s="18" t="n">
        <v>0</v>
      </c>
      <c r="L30" s="20" t="n">
        <v>0</v>
      </c>
      <c r="M30" s="18" t="n">
        <v>0</v>
      </c>
      <c r="N30" s="20" t="n">
        <v>0</v>
      </c>
      <c r="O30" s="18" t="n">
        <v>0</v>
      </c>
      <c r="P30" s="20" t="n">
        <v>0</v>
      </c>
      <c r="Q30" s="18" t="n">
        <v>1.83624966</v>
      </c>
      <c r="R30" s="20" t="n">
        <v>0.86549494</v>
      </c>
    </row>
    <row r="31" spans="1:18">
      <c r="A31" s="15" t="s">
        <v>373</v>
      </c>
      <c r="B31" s="17" t="n">
        <v>2706</v>
      </c>
      <c r="C31" s="18">
        <f>(2359.0/B31*100)</f>
        <v/>
      </c>
      <c r="D31" s="19" t="n">
        <v>347</v>
      </c>
      <c r="E31" s="18" t="n">
        <v>12.46333174</v>
      </c>
      <c r="F31" s="20" t="n">
        <v>1.84764057</v>
      </c>
      <c r="G31" s="18" t="n">
        <v>86.73346588</v>
      </c>
      <c r="H31" s="20" t="n">
        <v>1.86823702</v>
      </c>
      <c r="I31" s="18" t="s">
        <v>349</v>
      </c>
      <c r="J31" s="20" t="s">
        <v>349</v>
      </c>
      <c r="K31" s="18" t="n">
        <v>0.27774475</v>
      </c>
      <c r="L31" s="20" t="n">
        <v>0.27354714</v>
      </c>
      <c r="M31" s="18" t="n">
        <v>0</v>
      </c>
      <c r="N31" s="20" t="n">
        <v>0</v>
      </c>
      <c r="O31" s="18" t="n">
        <v>0</v>
      </c>
      <c r="P31" s="20" t="n">
        <v>0</v>
      </c>
      <c r="Q31" s="18" t="n">
        <v>0.52545763</v>
      </c>
      <c r="R31" s="20" t="n">
        <v>0.37611699</v>
      </c>
    </row>
    <row r="32" spans="1:18">
      <c r="A32" s="15" t="s">
        <v>374</v>
      </c>
      <c r="B32" s="17" t="n">
        <v>2209</v>
      </c>
      <c r="C32" s="18">
        <f>(1833.0/B32*100)</f>
        <v/>
      </c>
      <c r="D32" s="19" t="n">
        <v>376</v>
      </c>
      <c r="E32" s="18" t="n">
        <v>14.3507577</v>
      </c>
      <c r="F32" s="20" t="n">
        <v>1.63710452</v>
      </c>
      <c r="G32" s="18" t="n">
        <v>83.98166558</v>
      </c>
      <c r="H32" s="20" t="n">
        <v>1.69963193</v>
      </c>
      <c r="I32" s="18" t="s">
        <v>349</v>
      </c>
      <c r="J32" s="20" t="s">
        <v>349</v>
      </c>
      <c r="K32" s="18" t="n">
        <v>0.27017343</v>
      </c>
      <c r="L32" s="20" t="n">
        <v>0.26940679</v>
      </c>
      <c r="M32" s="18" t="n">
        <v>0</v>
      </c>
      <c r="N32" s="20" t="n">
        <v>0</v>
      </c>
      <c r="O32" s="18" t="n">
        <v>0</v>
      </c>
      <c r="P32" s="20" t="n">
        <v>0</v>
      </c>
      <c r="Q32" s="18" t="n">
        <v>1.3974033</v>
      </c>
      <c r="R32" s="20" t="n">
        <v>0.67531892</v>
      </c>
    </row>
    <row r="33" spans="1:18">
      <c r="A33" s="15" t="s">
        <v>375</v>
      </c>
      <c r="B33" s="17" t="n">
        <v>3651</v>
      </c>
      <c r="C33" s="18">
        <f>(3202.0/B33*100)</f>
        <v/>
      </c>
      <c r="D33" s="19" t="n">
        <v>449</v>
      </c>
      <c r="E33" s="18" t="n">
        <v>19.83066707</v>
      </c>
      <c r="F33" s="20" t="n">
        <v>2.78077321</v>
      </c>
      <c r="G33" s="18" t="n">
        <v>79.52243756999999</v>
      </c>
      <c r="H33" s="20" t="n">
        <v>2.76865277</v>
      </c>
      <c r="I33" s="18" t="s">
        <v>349</v>
      </c>
      <c r="J33" s="20" t="s">
        <v>349</v>
      </c>
      <c r="K33" s="18" t="n">
        <v>0.017266</v>
      </c>
      <c r="L33" s="20" t="n">
        <v>0.01724155</v>
      </c>
      <c r="M33" s="18" t="n">
        <v>0</v>
      </c>
      <c r="N33" s="20" t="n">
        <v>0</v>
      </c>
      <c r="O33" s="18" t="n">
        <v>0</v>
      </c>
      <c r="P33" s="20" t="n">
        <v>0</v>
      </c>
      <c r="Q33" s="18" t="n">
        <v>0.62962936</v>
      </c>
      <c r="R33" s="20" t="n">
        <v>0.44563221</v>
      </c>
    </row>
    <row r="34" spans="1:18">
      <c r="A34" s="15" t="s">
        <v>376</v>
      </c>
      <c r="B34" s="17" t="n">
        <v>3035</v>
      </c>
      <c r="C34" s="18">
        <f>(2643.0/B34*100)</f>
        <v/>
      </c>
      <c r="D34" s="19" t="n">
        <v>392</v>
      </c>
      <c r="E34" s="18" t="n">
        <v>20.87264332</v>
      </c>
      <c r="F34" s="20" t="n">
        <v>2.04171304</v>
      </c>
      <c r="G34" s="18" t="n">
        <v>77.48322019</v>
      </c>
      <c r="H34" s="20" t="n">
        <v>1.96035979</v>
      </c>
      <c r="I34" s="18" t="s">
        <v>349</v>
      </c>
      <c r="J34" s="20" t="s">
        <v>349</v>
      </c>
      <c r="K34" s="18" t="n">
        <v>0.22045964</v>
      </c>
      <c r="L34" s="20" t="n">
        <v>0.22996087</v>
      </c>
      <c r="M34" s="18" t="n">
        <v>0</v>
      </c>
      <c r="N34" s="20" t="n">
        <v>0</v>
      </c>
      <c r="O34" s="18" t="n">
        <v>0</v>
      </c>
      <c r="P34" s="20" t="n">
        <v>0</v>
      </c>
      <c r="Q34" s="18" t="n">
        <v>1.42367685</v>
      </c>
      <c r="R34" s="20" t="n">
        <v>0.67568655</v>
      </c>
    </row>
    <row r="35" spans="1:18">
      <c r="A35" s="15" t="s">
        <v>377</v>
      </c>
      <c r="B35" s="17" t="n">
        <v>2901</v>
      </c>
      <c r="C35" s="18">
        <f>(2532.0/B35*100)</f>
        <v/>
      </c>
      <c r="D35" s="19" t="n">
        <v>369</v>
      </c>
      <c r="E35" s="18" t="n">
        <v>13.15191437</v>
      </c>
      <c r="F35" s="20" t="n">
        <v>1.80621476</v>
      </c>
      <c r="G35" s="18" t="n">
        <v>86.32067066</v>
      </c>
      <c r="H35" s="20" t="n">
        <v>1.83004701</v>
      </c>
      <c r="I35" s="18" t="s">
        <v>349</v>
      </c>
      <c r="J35" s="20" t="s">
        <v>349</v>
      </c>
      <c r="K35" s="18" t="n">
        <v>0</v>
      </c>
      <c r="L35" s="20" t="n">
        <v>0</v>
      </c>
      <c r="M35" s="18" t="n">
        <v>0</v>
      </c>
      <c r="N35" s="20" t="n">
        <v>0</v>
      </c>
      <c r="O35" s="18" t="n">
        <v>0</v>
      </c>
      <c r="P35" s="20" t="n">
        <v>0</v>
      </c>
      <c r="Q35" s="18" t="n">
        <v>0.52741498</v>
      </c>
      <c r="R35" s="20" t="n">
        <v>0.24254355</v>
      </c>
    </row>
    <row r="36" spans="1:18">
      <c r="A36" s="15" t="s">
        <v>378</v>
      </c>
      <c r="B36" s="17" t="n">
        <v>3404</v>
      </c>
      <c r="C36" s="18">
        <f>(2990.0/B36*100)</f>
        <v/>
      </c>
      <c r="D36" s="19" t="n">
        <v>414</v>
      </c>
      <c r="E36" s="18" t="n">
        <v>16.64165101</v>
      </c>
      <c r="F36" s="20" t="n">
        <v>1.92878324</v>
      </c>
      <c r="G36" s="18" t="n">
        <v>81.90561563999999</v>
      </c>
      <c r="H36" s="20" t="n">
        <v>2.10584298</v>
      </c>
      <c r="I36" s="18" t="s">
        <v>349</v>
      </c>
      <c r="J36" s="20" t="s">
        <v>349</v>
      </c>
      <c r="K36" s="18" t="n">
        <v>0.36483527</v>
      </c>
      <c r="L36" s="20" t="n">
        <v>0.36954918</v>
      </c>
      <c r="M36" s="18" t="n">
        <v>0</v>
      </c>
      <c r="N36" s="20" t="n">
        <v>0</v>
      </c>
      <c r="O36" s="18" t="n">
        <v>0</v>
      </c>
      <c r="P36" s="20" t="n">
        <v>0</v>
      </c>
      <c r="Q36" s="18" t="n">
        <v>1.08789808</v>
      </c>
      <c r="R36" s="20" t="n">
        <v>0.52914273</v>
      </c>
    </row>
    <row r="37" spans="1:18">
      <c r="A37" s="15" t="s">
        <v>379</v>
      </c>
      <c r="B37" s="17" t="n">
        <v>2731</v>
      </c>
      <c r="C37" s="18">
        <f>(2397.0/B37*100)</f>
        <v/>
      </c>
      <c r="D37" s="19" t="n">
        <v>334</v>
      </c>
      <c r="E37" s="18" t="n">
        <v>9.85363868</v>
      </c>
      <c r="F37" s="20" t="n">
        <v>1.62366604</v>
      </c>
      <c r="G37" s="18" t="n">
        <v>86.18441547</v>
      </c>
      <c r="H37" s="20" t="n">
        <v>2.15932962</v>
      </c>
      <c r="I37" s="18" t="s">
        <v>349</v>
      </c>
      <c r="J37" s="20" t="s">
        <v>349</v>
      </c>
      <c r="K37" s="18" t="n">
        <v>0.24701111</v>
      </c>
      <c r="L37" s="20" t="n">
        <v>0.24587149</v>
      </c>
      <c r="M37" s="18" t="n">
        <v>0</v>
      </c>
      <c r="N37" s="20" t="n">
        <v>0</v>
      </c>
      <c r="O37" s="18" t="n">
        <v>0</v>
      </c>
      <c r="P37" s="20" t="n">
        <v>0</v>
      </c>
      <c r="Q37" s="18" t="n">
        <v>3.71493474</v>
      </c>
      <c r="R37" s="20" t="n">
        <v>1.16293244</v>
      </c>
    </row>
    <row r="38" spans="1:18">
      <c r="A38" s="15" t="s">
        <v>380</v>
      </c>
      <c r="B38" s="17" t="n">
        <v>2807</v>
      </c>
      <c r="C38" s="18">
        <f>(2354.0/B38*100)</f>
        <v/>
      </c>
      <c r="D38" s="19" t="n">
        <v>453</v>
      </c>
      <c r="E38" s="18" t="n">
        <v>11.68749535</v>
      </c>
      <c r="F38" s="20" t="n">
        <v>1.85273355</v>
      </c>
      <c r="G38" s="18" t="n">
        <v>86.48937013</v>
      </c>
      <c r="H38" s="20" t="n">
        <v>1.90775573</v>
      </c>
      <c r="I38" s="18" t="s">
        <v>349</v>
      </c>
      <c r="J38" s="20" t="s">
        <v>349</v>
      </c>
      <c r="K38" s="18" t="n">
        <v>0.02878853</v>
      </c>
      <c r="L38" s="20" t="n">
        <v>0.02353073</v>
      </c>
      <c r="M38" s="18" t="n">
        <v>0</v>
      </c>
      <c r="N38" s="20" t="n">
        <v>0</v>
      </c>
      <c r="O38" s="18" t="n">
        <v>0</v>
      </c>
      <c r="P38" s="20" t="n">
        <v>0</v>
      </c>
      <c r="Q38" s="18" t="n">
        <v>1.79434598</v>
      </c>
      <c r="R38" s="20" t="n">
        <v>0.84221946</v>
      </c>
    </row>
    <row r="39" spans="1:18">
      <c r="A39" s="15" t="s">
        <v>381</v>
      </c>
      <c r="B39" s="17" t="n">
        <v>2938</v>
      </c>
      <c r="C39" s="18">
        <f>(2566.0/B39*100)</f>
        <v/>
      </c>
      <c r="D39" s="19" t="n">
        <v>372</v>
      </c>
      <c r="E39" s="18" t="n">
        <v>30.11049568</v>
      </c>
      <c r="F39" s="20" t="n">
        <v>2.46118757</v>
      </c>
      <c r="G39" s="18" t="n">
        <v>67.62039892</v>
      </c>
      <c r="H39" s="20" t="n">
        <v>2.60483195</v>
      </c>
      <c r="I39" s="18" t="s">
        <v>349</v>
      </c>
      <c r="J39" s="20" t="s">
        <v>349</v>
      </c>
      <c r="K39" s="18" t="n">
        <v>0</v>
      </c>
      <c r="L39" s="20" t="n">
        <v>0</v>
      </c>
      <c r="M39" s="18" t="n">
        <v>0</v>
      </c>
      <c r="N39" s="20" t="n">
        <v>0</v>
      </c>
      <c r="O39" s="18" t="n">
        <v>0</v>
      </c>
      <c r="P39" s="20" t="n">
        <v>0</v>
      </c>
      <c r="Q39" s="18" t="n">
        <v>2.2691054</v>
      </c>
      <c r="R39" s="20" t="n">
        <v>0.78191161</v>
      </c>
    </row>
    <row r="40" spans="1:18">
      <c r="A40" s="15" t="s">
        <v>382</v>
      </c>
      <c r="B40" s="17" t="n">
        <v>6922</v>
      </c>
      <c r="C40" s="18">
        <f>(6014.0/B40*100)</f>
        <v/>
      </c>
      <c r="D40" s="19" t="n">
        <v>908</v>
      </c>
      <c r="E40" s="18" t="n">
        <v>17.39415191</v>
      </c>
      <c r="F40" s="20" t="n">
        <v>1.72340698</v>
      </c>
      <c r="G40" s="18" t="n">
        <v>81.79829153</v>
      </c>
      <c r="H40" s="20" t="n">
        <v>1.70108219</v>
      </c>
      <c r="I40" s="18" t="s">
        <v>349</v>
      </c>
      <c r="J40" s="20" t="s">
        <v>349</v>
      </c>
      <c r="K40" s="18" t="n">
        <v>0.18670228</v>
      </c>
      <c r="L40" s="20" t="n">
        <v>0.08483860999999999</v>
      </c>
      <c r="M40" s="18" t="n">
        <v>0</v>
      </c>
      <c r="N40" s="20" t="n">
        <v>0</v>
      </c>
      <c r="O40" s="18" t="n">
        <v>0</v>
      </c>
      <c r="P40" s="20" t="n">
        <v>0</v>
      </c>
      <c r="Q40" s="18" t="n">
        <v>0.62085428</v>
      </c>
      <c r="R40" s="20" t="n">
        <v>0.30256046</v>
      </c>
    </row>
    <row r="41" spans="1:18">
      <c r="A41" s="15" t="s">
        <v>383</v>
      </c>
      <c r="B41" s="17" t="n">
        <v>2854</v>
      </c>
      <c r="C41" s="18">
        <f>(2488.0/B41*100)</f>
        <v/>
      </c>
      <c r="D41" s="19" t="n">
        <v>366</v>
      </c>
      <c r="E41" s="18" t="n">
        <v>24.847645</v>
      </c>
      <c r="F41" s="20" t="n">
        <v>2.52860043</v>
      </c>
      <c r="G41" s="18" t="n">
        <v>75.152355</v>
      </c>
      <c r="H41" s="20" t="n">
        <v>2.52860043</v>
      </c>
      <c r="I41" s="18" t="s">
        <v>349</v>
      </c>
      <c r="J41" s="20" t="s">
        <v>349</v>
      </c>
      <c r="K41" s="18" t="n">
        <v>0</v>
      </c>
      <c r="L41" s="20" t="n">
        <v>0</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(4111.0/B48*100)</f>
        <v/>
      </c>
      <c r="D48" s="19" t="n">
        <v>571</v>
      </c>
      <c r="E48" s="18" t="n">
        <v>18.86017433</v>
      </c>
      <c r="F48" s="20" t="n">
        <v>2.05308977</v>
      </c>
      <c r="G48" s="18" t="n">
        <v>79.92975158</v>
      </c>
      <c r="H48" s="20" t="n">
        <v>2.1775436</v>
      </c>
      <c r="I48" s="18" t="s">
        <v>349</v>
      </c>
      <c r="J48" s="20" t="s">
        <v>349</v>
      </c>
      <c r="K48" s="18" t="n">
        <v>0.38558326</v>
      </c>
      <c r="L48" s="20" t="n">
        <v>0.32939636</v>
      </c>
      <c r="M48" s="18" t="n">
        <v>0</v>
      </c>
      <c r="N48" s="20" t="n">
        <v>0</v>
      </c>
      <c r="O48" s="18" t="n">
        <v>0</v>
      </c>
      <c r="P48" s="20" t="n">
        <v>0</v>
      </c>
      <c r="Q48" s="18" t="n">
        <v>0.82449083</v>
      </c>
      <c r="R48" s="20" t="n">
        <v>0.48138046</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(2623.0/B52*100)</f>
        <v/>
      </c>
      <c r="D52" s="19" t="n">
        <v>390</v>
      </c>
      <c r="E52" s="18" t="n">
        <v>13.38924367</v>
      </c>
      <c r="F52" s="20" t="n">
        <v>1.56600017</v>
      </c>
      <c r="G52" s="18" t="n">
        <v>82.76636070000001</v>
      </c>
      <c r="H52" s="20" t="n">
        <v>1.83882874</v>
      </c>
      <c r="I52" s="18" t="s">
        <v>349</v>
      </c>
      <c r="J52" s="20" t="s">
        <v>349</v>
      </c>
      <c r="K52" s="18" t="n">
        <v>0.72016484</v>
      </c>
      <c r="L52" s="20" t="n">
        <v>0.40152383</v>
      </c>
      <c r="M52" s="18" t="n">
        <v>0</v>
      </c>
      <c r="N52" s="20" t="n">
        <v>0</v>
      </c>
      <c r="O52" s="18" t="n">
        <v>0</v>
      </c>
      <c r="P52" s="20" t="n">
        <v>0</v>
      </c>
      <c r="Q52" s="18" t="n">
        <v>3.12423079</v>
      </c>
      <c r="R52" s="20" t="n">
        <v>0.94325962</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(2349.0/B56*100)</f>
        <v/>
      </c>
      <c r="D56" s="19" t="n">
        <v>326</v>
      </c>
      <c r="E56" s="18" t="n">
        <v>4.46686924</v>
      </c>
      <c r="F56" s="20" t="n">
        <v>1.22438639</v>
      </c>
      <c r="G56" s="18" t="n">
        <v>94.5995166</v>
      </c>
      <c r="H56" s="20" t="n">
        <v>1.31742839</v>
      </c>
      <c r="I56" s="18" t="s">
        <v>349</v>
      </c>
      <c r="J56" s="20" t="s">
        <v>349</v>
      </c>
      <c r="K56" s="18" t="n">
        <v>0</v>
      </c>
      <c r="L56" s="20" t="n">
        <v>0</v>
      </c>
      <c r="M56" s="18" t="n">
        <v>0</v>
      </c>
      <c r="N56" s="20" t="n">
        <v>0</v>
      </c>
      <c r="O56" s="18" t="n">
        <v>0</v>
      </c>
      <c r="P56" s="20" t="n">
        <v>0</v>
      </c>
      <c r="Q56" s="18" t="n">
        <v>0.93361417</v>
      </c>
      <c r="R56" s="20" t="n">
        <v>0.56386499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(2821.0/B61*100)</f>
        <v/>
      </c>
      <c r="D61" s="19" t="n">
        <v>380</v>
      </c>
      <c r="E61" s="18" t="n">
        <v>15.81059214</v>
      </c>
      <c r="F61" s="20" t="n">
        <v>2.39010323</v>
      </c>
      <c r="G61" s="18" t="n">
        <v>83.53165521</v>
      </c>
      <c r="H61" s="20" t="n">
        <v>2.40520112</v>
      </c>
      <c r="I61" s="18" t="s">
        <v>349</v>
      </c>
      <c r="J61" s="20" t="s">
        <v>349</v>
      </c>
      <c r="K61" s="18" t="n">
        <v>0.26032659</v>
      </c>
      <c r="L61" s="20" t="n">
        <v>0.25137758</v>
      </c>
      <c r="M61" s="18" t="n">
        <v>0</v>
      </c>
      <c r="N61" s="20" t="n">
        <v>0</v>
      </c>
      <c r="O61" s="18" t="n">
        <v>0</v>
      </c>
      <c r="P61" s="20" t="n">
        <v>0</v>
      </c>
      <c r="Q61" s="18" t="n">
        <v>0.39742606</v>
      </c>
      <c r="R61" s="20" t="n">
        <v>0.3398343</v>
      </c>
    </row>
    <row r="62" spans="1:18">
      <c r="A62" s="15" t="s">
        <v>404</v>
      </c>
      <c r="B62" s="17" t="n">
        <v>2230</v>
      </c>
      <c r="C62" s="18">
        <f>(1949.0/B62*100)</f>
        <v/>
      </c>
      <c r="D62" s="19" t="n">
        <v>281</v>
      </c>
      <c r="E62" s="18" t="n">
        <v>12.41371975</v>
      </c>
      <c r="F62" s="20" t="n">
        <v>2.15421186</v>
      </c>
      <c r="G62" s="18" t="n">
        <v>87.58628025</v>
      </c>
      <c r="H62" s="20" t="n">
        <v>2.15421186</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(2443.0/B66*100)</f>
        <v/>
      </c>
      <c r="D66" s="19" t="n">
        <v>328</v>
      </c>
      <c r="E66" s="18" t="n">
        <v>28.61344449</v>
      </c>
      <c r="F66" s="20" t="n">
        <v>2.45866434</v>
      </c>
      <c r="G66" s="18" t="n">
        <v>65.47060001</v>
      </c>
      <c r="H66" s="20" t="n">
        <v>2.76376464</v>
      </c>
      <c r="I66" s="18" t="s">
        <v>349</v>
      </c>
      <c r="J66" s="20" t="s">
        <v>349</v>
      </c>
      <c r="K66" s="18" t="n">
        <v>0.25229375</v>
      </c>
      <c r="L66" s="20" t="n">
        <v>0.25396802</v>
      </c>
      <c r="M66" s="18" t="n">
        <v>0</v>
      </c>
      <c r="N66" s="20" t="n">
        <v>0</v>
      </c>
      <c r="O66" s="18" t="n">
        <v>0</v>
      </c>
      <c r="P66" s="20" t="n">
        <v>0</v>
      </c>
      <c r="Q66" s="18" t="n">
        <v>5.66366175</v>
      </c>
      <c r="R66" s="20" t="n">
        <v>1.29335867</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(5032.0/B68*100)</f>
        <v/>
      </c>
      <c r="D68" s="19" t="n">
        <v>1002</v>
      </c>
      <c r="E68" s="18" t="n">
        <v>44.08016909</v>
      </c>
      <c r="F68" s="20" t="n">
        <v>1.56082502</v>
      </c>
      <c r="G68" s="18" t="n">
        <v>52.93827098</v>
      </c>
      <c r="H68" s="20" t="n">
        <v>1.47656202</v>
      </c>
      <c r="I68" s="18" t="s">
        <v>349</v>
      </c>
      <c r="J68" s="20" t="s">
        <v>349</v>
      </c>
      <c r="K68" s="18" t="n">
        <v>0.58062798</v>
      </c>
      <c r="L68" s="20" t="n">
        <v>0.27628551</v>
      </c>
      <c r="M68" s="18" t="n">
        <v>0</v>
      </c>
      <c r="N68" s="20" t="n">
        <v>0</v>
      </c>
      <c r="O68" s="18" t="n">
        <v>0</v>
      </c>
      <c r="P68" s="20" t="n">
        <v>0</v>
      </c>
      <c r="Q68" s="18" t="n">
        <v>2.40093195</v>
      </c>
      <c r="R68" s="20" t="n">
        <v>0.48187004</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(2703.0/B70*100)</f>
        <v/>
      </c>
      <c r="D70" s="19" t="n">
        <v>404</v>
      </c>
      <c r="E70" s="18" t="n">
        <v>18.42483123</v>
      </c>
      <c r="F70" s="20" t="n">
        <v>2.19732637</v>
      </c>
      <c r="G70" s="18" t="n">
        <v>80.22787864</v>
      </c>
      <c r="H70" s="20" t="n">
        <v>2.32074786</v>
      </c>
      <c r="I70" s="18" t="s">
        <v>349</v>
      </c>
      <c r="J70" s="20" t="s">
        <v>349</v>
      </c>
      <c r="K70" s="18" t="n">
        <v>0.26598456</v>
      </c>
      <c r="L70" s="20" t="n">
        <v>0.26302313</v>
      </c>
      <c r="M70" s="18" t="n">
        <v>0</v>
      </c>
      <c r="N70" s="20" t="n">
        <v>0</v>
      </c>
      <c r="O70" s="18" t="n">
        <v>0</v>
      </c>
      <c r="P70" s="20" t="n">
        <v>0</v>
      </c>
      <c r="Q70" s="18" t="n">
        <v>1.08130556</v>
      </c>
      <c r="R70" s="20" t="n">
        <v>0.64367969</v>
      </c>
    </row>
    <row r="71" spans="1:18">
      <c r="A71" s="15" t="s">
        <v>413</v>
      </c>
      <c r="B71" s="17" t="n">
        <v>2973</v>
      </c>
      <c r="C71" s="18">
        <f>(2598.0/B71*100)</f>
        <v/>
      </c>
      <c r="D71" s="19" t="n">
        <v>375</v>
      </c>
      <c r="E71" s="18" t="n">
        <v>10.22701953</v>
      </c>
      <c r="F71" s="20" t="n">
        <v>1.39640588</v>
      </c>
      <c r="G71" s="18" t="n">
        <v>89.47576047</v>
      </c>
      <c r="H71" s="20" t="n">
        <v>1.42022854</v>
      </c>
      <c r="I71" s="18" t="s">
        <v>349</v>
      </c>
      <c r="J71" s="20" t="s">
        <v>349</v>
      </c>
      <c r="K71" s="18" t="n">
        <v>0</v>
      </c>
      <c r="L71" s="20" t="n">
        <v>0</v>
      </c>
      <c r="M71" s="18" t="n">
        <v>0</v>
      </c>
      <c r="N71" s="20" t="n">
        <v>0</v>
      </c>
      <c r="O71" s="18" t="n">
        <v>0</v>
      </c>
      <c r="P71" s="20" t="n">
        <v>0</v>
      </c>
      <c r="Q71" s="18" t="n">
        <v>0.29722</v>
      </c>
      <c r="R71" s="20" t="n">
        <v>0.29622883</v>
      </c>
    </row>
    <row r="72" spans="1:18">
      <c r="A72" s="15" t="s">
        <v>414</v>
      </c>
      <c r="B72" s="17" t="n">
        <v>3819</v>
      </c>
      <c r="C72" s="18">
        <f>(3341.0/B72*100)</f>
        <v/>
      </c>
      <c r="D72" s="19" t="n">
        <v>478</v>
      </c>
      <c r="E72" s="18" t="n">
        <v>14.09369201</v>
      </c>
      <c r="F72" s="20" t="n">
        <v>1.59443717</v>
      </c>
      <c r="G72" s="18" t="n">
        <v>84.81196838</v>
      </c>
      <c r="H72" s="20" t="n">
        <v>1.68828653</v>
      </c>
      <c r="I72" s="18" t="s">
        <v>349</v>
      </c>
      <c r="J72" s="20" t="s">
        <v>349</v>
      </c>
      <c r="K72" s="18" t="n">
        <v>0</v>
      </c>
      <c r="L72" s="20" t="n">
        <v>0</v>
      </c>
      <c r="M72" s="18" t="n">
        <v>0</v>
      </c>
      <c r="N72" s="20" t="n">
        <v>0</v>
      </c>
      <c r="O72" s="18" t="n">
        <v>0</v>
      </c>
      <c r="P72" s="20" t="n">
        <v>0</v>
      </c>
      <c r="Q72" s="18" t="n">
        <v>1.09433961</v>
      </c>
      <c r="R72" s="20" t="n">
        <v>0.55639777</v>
      </c>
    </row>
    <row r="73" spans="1:18">
      <c r="A73" s="15" t="s">
        <v>415</v>
      </c>
      <c r="B73" s="17" t="n">
        <v>4652</v>
      </c>
      <c r="C73" s="18">
        <f>(4094.0/B73*100)</f>
        <v/>
      </c>
      <c r="D73" s="19" t="n">
        <v>558</v>
      </c>
      <c r="E73" s="18" t="n">
        <v>47.27890198</v>
      </c>
      <c r="F73" s="20" t="n">
        <v>2.38213667</v>
      </c>
      <c r="G73" s="18" t="n">
        <v>52.46773849</v>
      </c>
      <c r="H73" s="20" t="n">
        <v>2.36631457</v>
      </c>
      <c r="I73" s="18" t="s">
        <v>349</v>
      </c>
      <c r="J73" s="20" t="s">
        <v>349</v>
      </c>
      <c r="K73" s="18" t="n">
        <v>0</v>
      </c>
      <c r="L73" s="20" t="n">
        <v>0</v>
      </c>
      <c r="M73" s="18" t="n">
        <v>0</v>
      </c>
      <c r="N73" s="20" t="n">
        <v>0</v>
      </c>
      <c r="O73" s="18" t="n">
        <v>0</v>
      </c>
      <c r="P73" s="20" t="n">
        <v>0</v>
      </c>
      <c r="Q73" s="18" t="n">
        <v>0.25335952</v>
      </c>
      <c r="R73" s="20" t="n">
        <v>0.25392401</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(4103.0/B81*100)</f>
        <v/>
      </c>
      <c r="D81" s="19" t="n">
        <v>595</v>
      </c>
      <c r="E81" s="18" t="n">
        <v>25.3544129</v>
      </c>
      <c r="F81" s="20" t="n">
        <v>2.10129892</v>
      </c>
      <c r="G81" s="18" t="n">
        <v>74.20667179</v>
      </c>
      <c r="H81" s="20" t="n">
        <v>2.13200632</v>
      </c>
      <c r="I81" s="18" t="s">
        <v>349</v>
      </c>
      <c r="J81" s="20" t="s">
        <v>349</v>
      </c>
      <c r="K81" s="18" t="n">
        <v>0</v>
      </c>
      <c r="L81" s="20" t="n">
        <v>0</v>
      </c>
      <c r="M81" s="18" t="n">
        <v>0</v>
      </c>
      <c r="N81" s="20" t="n">
        <v>0</v>
      </c>
      <c r="O81" s="18" t="n">
        <v>0</v>
      </c>
      <c r="P81" s="20" t="n">
        <v>0</v>
      </c>
      <c r="Q81" s="18" t="n">
        <v>0.4389153</v>
      </c>
      <c r="R81" s="20" t="n">
        <v>0.30521021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(6286.0/B7*100)</f>
        <v/>
      </c>
      <c r="D7" s="19" t="n">
        <v>877</v>
      </c>
      <c r="E7" s="18" t="n">
        <v>51.01505674</v>
      </c>
      <c r="F7" s="20" t="n">
        <v>2.14662289</v>
      </c>
      <c r="G7" s="18" t="n">
        <v>46.66257876</v>
      </c>
      <c r="H7" s="20" t="n">
        <v>2.18512133</v>
      </c>
      <c r="I7" s="18" t="s">
        <v>349</v>
      </c>
      <c r="J7" s="20" t="s">
        <v>349</v>
      </c>
      <c r="K7" s="18" t="n">
        <v>0.15499483</v>
      </c>
      <c r="L7" s="20" t="n">
        <v>0.08862245000000001</v>
      </c>
      <c r="M7" s="18" t="n">
        <v>0</v>
      </c>
      <c r="N7" s="20" t="n">
        <v>0</v>
      </c>
      <c r="O7" s="18" t="n">
        <v>0</v>
      </c>
      <c r="P7" s="20" t="n">
        <v>0</v>
      </c>
      <c r="Q7" s="18" t="n">
        <v>2.16736966</v>
      </c>
      <c r="R7" s="20" t="n">
        <v>0.5462021500000001</v>
      </c>
    </row>
    <row r="8" spans="1:18">
      <c r="A8" s="15" t="s">
        <v>350</v>
      </c>
      <c r="B8" s="17" t="n">
        <v>3443</v>
      </c>
      <c r="C8" s="18">
        <f>(3012.0/B8*100)</f>
        <v/>
      </c>
      <c r="D8" s="19" t="n">
        <v>431</v>
      </c>
      <c r="E8" s="18" t="n">
        <v>49.49940476</v>
      </c>
      <c r="F8" s="20" t="n">
        <v>3.09697466</v>
      </c>
      <c r="G8" s="18" t="n">
        <v>47.46529499</v>
      </c>
      <c r="H8" s="20" t="n">
        <v>3.25976302</v>
      </c>
      <c r="I8" s="18" t="s">
        <v>349</v>
      </c>
      <c r="J8" s="20" t="s">
        <v>349</v>
      </c>
      <c r="K8" s="18" t="n">
        <v>0</v>
      </c>
      <c r="L8" s="20" t="n">
        <v>0</v>
      </c>
      <c r="M8" s="18" t="n">
        <v>0</v>
      </c>
      <c r="N8" s="20" t="n">
        <v>0</v>
      </c>
      <c r="O8" s="18" t="n">
        <v>0</v>
      </c>
      <c r="P8" s="20" t="n">
        <v>0</v>
      </c>
      <c r="Q8" s="18" t="n">
        <v>3.03530025</v>
      </c>
      <c r="R8" s="20" t="n">
        <v>1.04399475</v>
      </c>
    </row>
    <row r="9" spans="1:18">
      <c r="A9" s="15" t="s">
        <v>351</v>
      </c>
      <c r="B9" s="17" t="n">
        <v>4752</v>
      </c>
      <c r="C9" s="18">
        <f>(4164.0/B9*100)</f>
        <v/>
      </c>
      <c r="D9" s="19" t="n">
        <v>588</v>
      </c>
      <c r="E9" s="18" t="n">
        <v>45.23987664</v>
      </c>
      <c r="F9" s="20" t="n">
        <v>1.90736283</v>
      </c>
      <c r="G9" s="18" t="n">
        <v>52.37765959</v>
      </c>
      <c r="H9" s="20" t="n">
        <v>1.99598892</v>
      </c>
      <c r="I9" s="18" t="s">
        <v>349</v>
      </c>
      <c r="J9" s="20" t="s">
        <v>349</v>
      </c>
      <c r="K9" s="18" t="n">
        <v>0.18824421</v>
      </c>
      <c r="L9" s="20" t="n">
        <v>0.19508624</v>
      </c>
      <c r="M9" s="18" t="n">
        <v>0</v>
      </c>
      <c r="N9" s="20" t="n">
        <v>0</v>
      </c>
      <c r="O9" s="18" t="n">
        <v>0</v>
      </c>
      <c r="P9" s="20" t="n">
        <v>0</v>
      </c>
      <c r="Q9" s="18" t="n">
        <v>2.19421957</v>
      </c>
      <c r="R9" s="20" t="n">
        <v>0.8204597300000001</v>
      </c>
    </row>
    <row r="10" spans="1:18">
      <c r="A10" s="15" t="s">
        <v>352</v>
      </c>
      <c r="B10" s="17" t="n">
        <v>10022</v>
      </c>
      <c r="C10" s="18">
        <f>(8795.0/B10*100)</f>
        <v/>
      </c>
      <c r="D10" s="19" t="n">
        <v>1227</v>
      </c>
      <c r="E10" s="18" t="n">
        <v>50.19643265</v>
      </c>
      <c r="F10" s="20" t="n">
        <v>2.11753934</v>
      </c>
      <c r="G10" s="18" t="n">
        <v>48.5278338</v>
      </c>
      <c r="H10" s="20" t="n">
        <v>2.20052222</v>
      </c>
      <c r="I10" s="18" t="s">
        <v>349</v>
      </c>
      <c r="J10" s="20" t="s">
        <v>349</v>
      </c>
      <c r="K10" s="18" t="n">
        <v>0.27898525</v>
      </c>
      <c r="L10" s="20" t="n">
        <v>0.22200852</v>
      </c>
      <c r="M10" s="18" t="n">
        <v>0</v>
      </c>
      <c r="N10" s="20" t="n">
        <v>0</v>
      </c>
      <c r="O10" s="18" t="n">
        <v>0</v>
      </c>
      <c r="P10" s="20" t="n">
        <v>0</v>
      </c>
      <c r="Q10" s="18" t="n">
        <v>0.9967483</v>
      </c>
      <c r="R10" s="20" t="n">
        <v>0.43372476</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(3008.0/B12*100)</f>
        <v/>
      </c>
      <c r="D12" s="19" t="n">
        <v>414</v>
      </c>
      <c r="E12" s="18" t="n">
        <v>48.14990572</v>
      </c>
      <c r="F12" s="20" t="n">
        <v>2.84962425</v>
      </c>
      <c r="G12" s="18" t="n">
        <v>49.03934104</v>
      </c>
      <c r="H12" s="20" t="n">
        <v>2.86631207</v>
      </c>
      <c r="I12" s="18" t="s">
        <v>349</v>
      </c>
      <c r="J12" s="20" t="s">
        <v>349</v>
      </c>
      <c r="K12" s="18" t="n">
        <v>0</v>
      </c>
      <c r="L12" s="20" t="n">
        <v>0</v>
      </c>
      <c r="M12" s="18" t="n">
        <v>0</v>
      </c>
      <c r="N12" s="20" t="n">
        <v>0</v>
      </c>
      <c r="O12" s="18" t="n">
        <v>0</v>
      </c>
      <c r="P12" s="20" t="n">
        <v>0</v>
      </c>
      <c r="Q12" s="18" t="n">
        <v>2.81075325</v>
      </c>
      <c r="R12" s="20" t="n">
        <v>0.86145374</v>
      </c>
    </row>
    <row r="13" spans="1:18">
      <c r="A13" s="15" t="s">
        <v>355</v>
      </c>
      <c r="B13" s="17" t="n">
        <v>3602</v>
      </c>
      <c r="C13" s="18">
        <f>(3184.0/B13*100)</f>
        <v/>
      </c>
      <c r="D13" s="19" t="n">
        <v>418</v>
      </c>
      <c r="E13" s="18" t="n">
        <v>40.75520907</v>
      </c>
      <c r="F13" s="20" t="n">
        <v>2.72537559</v>
      </c>
      <c r="G13" s="18" t="n">
        <v>55.94948021</v>
      </c>
      <c r="H13" s="20" t="n">
        <v>3.1459179</v>
      </c>
      <c r="I13" s="18" t="s">
        <v>349</v>
      </c>
      <c r="J13" s="20" t="s">
        <v>349</v>
      </c>
      <c r="K13" s="18" t="n">
        <v>1.02165387</v>
      </c>
      <c r="L13" s="20" t="n">
        <v>0.60206034</v>
      </c>
      <c r="M13" s="18" t="n">
        <v>0</v>
      </c>
      <c r="N13" s="20" t="n">
        <v>0</v>
      </c>
      <c r="O13" s="18" t="n">
        <v>0</v>
      </c>
      <c r="P13" s="20" t="n">
        <v>0</v>
      </c>
      <c r="Q13" s="18" t="n">
        <v>2.27365685</v>
      </c>
      <c r="R13" s="20" t="n">
        <v>0.93056105</v>
      </c>
    </row>
    <row r="14" spans="1:18">
      <c r="A14" s="15" t="s">
        <v>356</v>
      </c>
      <c r="B14" s="17" t="n">
        <v>2788</v>
      </c>
      <c r="C14" s="18">
        <f>(2453.0/B14*100)</f>
        <v/>
      </c>
      <c r="D14" s="19" t="n">
        <v>335</v>
      </c>
      <c r="E14" s="18" t="n">
        <v>43.33462485</v>
      </c>
      <c r="F14" s="20" t="n">
        <v>2.72221443</v>
      </c>
      <c r="G14" s="18" t="n">
        <v>55.80944876</v>
      </c>
      <c r="H14" s="20" t="n">
        <v>2.78099657</v>
      </c>
      <c r="I14" s="18" t="s">
        <v>349</v>
      </c>
      <c r="J14" s="20" t="s">
        <v>349</v>
      </c>
      <c r="K14" s="18" t="n">
        <v>0</v>
      </c>
      <c r="L14" s="20" t="n">
        <v>0</v>
      </c>
      <c r="M14" s="18" t="n">
        <v>0</v>
      </c>
      <c r="N14" s="20" t="n">
        <v>0</v>
      </c>
      <c r="O14" s="18" t="n">
        <v>0</v>
      </c>
      <c r="P14" s="20" t="n">
        <v>0</v>
      </c>
      <c r="Q14" s="18" t="n">
        <v>0.85592638</v>
      </c>
      <c r="R14" s="20" t="n">
        <v>0.42991993</v>
      </c>
    </row>
    <row r="15" spans="1:18">
      <c r="A15" s="15" t="s">
        <v>357</v>
      </c>
      <c r="B15" s="17" t="n">
        <v>2863</v>
      </c>
      <c r="C15" s="18">
        <f>(2513.0/B15*100)</f>
        <v/>
      </c>
      <c r="D15" s="19" t="n">
        <v>350</v>
      </c>
      <c r="E15" s="18" t="n">
        <v>39.85746127</v>
      </c>
      <c r="F15" s="20" t="n">
        <v>2.69796987</v>
      </c>
      <c r="G15" s="18" t="n">
        <v>57.63268708</v>
      </c>
      <c r="H15" s="20" t="n">
        <v>2.68626828</v>
      </c>
      <c r="I15" s="18" t="s">
        <v>349</v>
      </c>
      <c r="J15" s="20" t="s">
        <v>349</v>
      </c>
      <c r="K15" s="18" t="n">
        <v>0.58840694</v>
      </c>
      <c r="L15" s="20" t="n">
        <v>0.39916704</v>
      </c>
      <c r="M15" s="18" t="n">
        <v>0</v>
      </c>
      <c r="N15" s="20" t="n">
        <v>0</v>
      </c>
      <c r="O15" s="18" t="n">
        <v>0</v>
      </c>
      <c r="P15" s="20" t="n">
        <v>0</v>
      </c>
      <c r="Q15" s="18" t="n">
        <v>1.9214447</v>
      </c>
      <c r="R15" s="20" t="n">
        <v>0.72939018</v>
      </c>
    </row>
    <row r="16" spans="1:18">
      <c r="A16" s="15" t="s">
        <v>358</v>
      </c>
      <c r="B16" s="17" t="n">
        <v>3111</v>
      </c>
      <c r="C16" s="18">
        <f>(2735.0/B16*100)</f>
        <v/>
      </c>
      <c r="D16" s="19" t="n">
        <v>376</v>
      </c>
      <c r="E16" s="18" t="n">
        <v>49.55219783</v>
      </c>
      <c r="F16" s="20" t="n">
        <v>2.46871797</v>
      </c>
      <c r="G16" s="18" t="n">
        <v>46.83704747</v>
      </c>
      <c r="H16" s="20" t="n">
        <v>2.35768218</v>
      </c>
      <c r="I16" s="18" t="s">
        <v>349</v>
      </c>
      <c r="J16" s="20" t="s">
        <v>349</v>
      </c>
      <c r="K16" s="18" t="n">
        <v>0.30525998</v>
      </c>
      <c r="L16" s="20" t="n">
        <v>0.3038007</v>
      </c>
      <c r="M16" s="18" t="n">
        <v>0</v>
      </c>
      <c r="N16" s="20" t="n">
        <v>0</v>
      </c>
      <c r="O16" s="18" t="n">
        <v>0</v>
      </c>
      <c r="P16" s="20" t="n">
        <v>0</v>
      </c>
      <c r="Q16" s="18" t="n">
        <v>3.30549472</v>
      </c>
      <c r="R16" s="20" t="n">
        <v>0.8689419900000001</v>
      </c>
    </row>
    <row r="17" spans="1:18">
      <c r="A17" s="15" t="s">
        <v>359</v>
      </c>
      <c r="B17" s="17" t="n">
        <v>3197</v>
      </c>
      <c r="C17" s="18">
        <f>(2793.0/B17*100)</f>
        <v/>
      </c>
      <c r="D17" s="19" t="n">
        <v>404</v>
      </c>
      <c r="E17" s="18" t="n">
        <v>49.33293085</v>
      </c>
      <c r="F17" s="20" t="n">
        <v>2.74271988</v>
      </c>
      <c r="G17" s="18" t="n">
        <v>48.90706388</v>
      </c>
      <c r="H17" s="20" t="n">
        <v>2.65495187</v>
      </c>
      <c r="I17" s="18" t="s">
        <v>349</v>
      </c>
      <c r="J17" s="20" t="s">
        <v>349</v>
      </c>
      <c r="K17" s="18" t="n">
        <v>0.53626224</v>
      </c>
      <c r="L17" s="20" t="n">
        <v>0.37665912</v>
      </c>
      <c r="M17" s="18" t="n">
        <v>0</v>
      </c>
      <c r="N17" s="20" t="n">
        <v>0</v>
      </c>
      <c r="O17" s="18" t="n">
        <v>0</v>
      </c>
      <c r="P17" s="20" t="n">
        <v>0</v>
      </c>
      <c r="Q17" s="18" t="n">
        <v>1.22374303</v>
      </c>
      <c r="R17" s="20" t="n">
        <v>0.5556883</v>
      </c>
    </row>
    <row r="18" spans="1:18">
      <c r="A18" s="15" t="s">
        <v>360</v>
      </c>
      <c r="B18" s="17" t="n">
        <v>2706</v>
      </c>
      <c r="C18" s="18">
        <f>(2390.0/B18*100)</f>
        <v/>
      </c>
      <c r="D18" s="19" t="n">
        <v>316</v>
      </c>
      <c r="E18" s="18" t="n">
        <v>57.91286429</v>
      </c>
      <c r="F18" s="20" t="n">
        <v>2.82858519</v>
      </c>
      <c r="G18" s="18" t="n">
        <v>38.58870505</v>
      </c>
      <c r="H18" s="20" t="n">
        <v>2.69182566</v>
      </c>
      <c r="I18" s="18" t="s">
        <v>349</v>
      </c>
      <c r="J18" s="20" t="s">
        <v>349</v>
      </c>
      <c r="K18" s="18" t="n">
        <v>0.84167168</v>
      </c>
      <c r="L18" s="20" t="n">
        <v>0.8418707600000001</v>
      </c>
      <c r="M18" s="18" t="n">
        <v>0</v>
      </c>
      <c r="N18" s="20" t="n">
        <v>0</v>
      </c>
      <c r="O18" s="18" t="n">
        <v>0</v>
      </c>
      <c r="P18" s="20" t="n">
        <v>0</v>
      </c>
      <c r="Q18" s="18" t="n">
        <v>2.65675897</v>
      </c>
      <c r="R18" s="20" t="n">
        <v>0.96302594</v>
      </c>
    </row>
    <row r="19" spans="1:18">
      <c r="A19" s="15" t="s">
        <v>361</v>
      </c>
      <c r="B19" s="17" t="n">
        <v>2850</v>
      </c>
      <c r="C19" s="18">
        <f>(2511.0/B19*100)</f>
        <v/>
      </c>
      <c r="D19" s="19" t="n">
        <v>339</v>
      </c>
      <c r="E19" s="18" t="n">
        <v>55.27957447</v>
      </c>
      <c r="F19" s="20" t="n">
        <v>2.50773706</v>
      </c>
      <c r="G19" s="18" t="n">
        <v>40.38839785</v>
      </c>
      <c r="H19" s="20" t="n">
        <v>2.44835301</v>
      </c>
      <c r="I19" s="18" t="s">
        <v>349</v>
      </c>
      <c r="J19" s="20" t="s">
        <v>349</v>
      </c>
      <c r="K19" s="18" t="n">
        <v>0</v>
      </c>
      <c r="L19" s="20" t="n">
        <v>0</v>
      </c>
      <c r="M19" s="18" t="n">
        <v>0</v>
      </c>
      <c r="N19" s="20" t="n">
        <v>0</v>
      </c>
      <c r="O19" s="18" t="n">
        <v>0</v>
      </c>
      <c r="P19" s="20" t="n">
        <v>0</v>
      </c>
      <c r="Q19" s="18" t="n">
        <v>4.33202768</v>
      </c>
      <c r="R19" s="20" t="n">
        <v>1.15834226</v>
      </c>
    </row>
    <row r="20" spans="1:18">
      <c r="A20" s="15" t="s">
        <v>362</v>
      </c>
      <c r="B20" s="17" t="n">
        <v>1741</v>
      </c>
      <c r="C20" s="18">
        <f>(1523.0/B20*100)</f>
        <v/>
      </c>
      <c r="D20" s="19" t="n">
        <v>218</v>
      </c>
      <c r="E20" s="18" t="n">
        <v>43.15686227</v>
      </c>
      <c r="F20" s="20" t="n">
        <v>3.41342452</v>
      </c>
      <c r="G20" s="18" t="n">
        <v>51.23673998</v>
      </c>
      <c r="H20" s="20" t="n">
        <v>3.50258523</v>
      </c>
      <c r="I20" s="18" t="s">
        <v>349</v>
      </c>
      <c r="J20" s="20" t="s">
        <v>349</v>
      </c>
      <c r="K20" s="18" t="n">
        <v>0.5317137199999999</v>
      </c>
      <c r="L20" s="20" t="n">
        <v>0.52071109</v>
      </c>
      <c r="M20" s="18" t="n">
        <v>0</v>
      </c>
      <c r="N20" s="20" t="n">
        <v>0</v>
      </c>
      <c r="O20" s="18" t="n">
        <v>0</v>
      </c>
      <c r="P20" s="20" t="n">
        <v>0</v>
      </c>
      <c r="Q20" s="18" t="n">
        <v>5.07468404</v>
      </c>
      <c r="R20" s="20" t="n">
        <v>1.67948161</v>
      </c>
    </row>
    <row r="21" spans="1:18">
      <c r="A21" s="15" t="s">
        <v>363</v>
      </c>
      <c r="B21" s="17" t="n">
        <v>2833</v>
      </c>
      <c r="C21" s="18">
        <f>(2380.0/B21*100)</f>
        <v/>
      </c>
      <c r="D21" s="19" t="n">
        <v>453</v>
      </c>
      <c r="E21" s="18" t="n">
        <v>47.24085101</v>
      </c>
      <c r="F21" s="20" t="n">
        <v>2.21587827</v>
      </c>
      <c r="G21" s="18" t="n">
        <v>51.55928802</v>
      </c>
      <c r="H21" s="20" t="n">
        <v>2.43360103</v>
      </c>
      <c r="I21" s="18" t="s">
        <v>349</v>
      </c>
      <c r="J21" s="20" t="s">
        <v>349</v>
      </c>
      <c r="K21" s="18" t="n">
        <v>0.16175137</v>
      </c>
      <c r="L21" s="20" t="n">
        <v>0.16098564</v>
      </c>
      <c r="M21" s="18" t="n">
        <v>0</v>
      </c>
      <c r="N21" s="20" t="n">
        <v>0</v>
      </c>
      <c r="O21" s="18" t="n">
        <v>0</v>
      </c>
      <c r="P21" s="20" t="n">
        <v>0</v>
      </c>
      <c r="Q21" s="18" t="n">
        <v>1.0381096</v>
      </c>
      <c r="R21" s="20" t="n">
        <v>0.53170017</v>
      </c>
    </row>
    <row r="22" spans="1:18">
      <c r="A22" s="15" t="s">
        <v>364</v>
      </c>
      <c r="B22" s="17" t="n">
        <v>3667</v>
      </c>
      <c r="C22" s="18">
        <f>(3278.0/B22*100)</f>
        <v/>
      </c>
      <c r="D22" s="19" t="n">
        <v>389</v>
      </c>
      <c r="E22" s="18" t="n">
        <v>56.81986268</v>
      </c>
      <c r="F22" s="20" t="n">
        <v>2.39705949</v>
      </c>
      <c r="G22" s="18" t="n">
        <v>40.22569044</v>
      </c>
      <c r="H22" s="20" t="n">
        <v>2.38374686</v>
      </c>
      <c r="I22" s="18" t="s">
        <v>349</v>
      </c>
      <c r="J22" s="20" t="s">
        <v>349</v>
      </c>
      <c r="K22" s="18" t="n">
        <v>0.48551343</v>
      </c>
      <c r="L22" s="20" t="n">
        <v>0.33961738</v>
      </c>
      <c r="M22" s="18" t="n">
        <v>0</v>
      </c>
      <c r="N22" s="20" t="n">
        <v>0</v>
      </c>
      <c r="O22" s="18" t="n">
        <v>0</v>
      </c>
      <c r="P22" s="20" t="n">
        <v>0</v>
      </c>
      <c r="Q22" s="18" t="n">
        <v>2.46893346</v>
      </c>
      <c r="R22" s="20" t="n">
        <v>0.7680373700000001</v>
      </c>
    </row>
    <row r="23" spans="1:18">
      <c r="A23" s="15" t="s">
        <v>365</v>
      </c>
      <c r="B23" s="17" t="n">
        <v>5792</v>
      </c>
      <c r="C23" s="18">
        <f>(5076.0/B23*100)</f>
        <v/>
      </c>
      <c r="D23" s="19" t="n">
        <v>716</v>
      </c>
      <c r="E23" s="18" t="n">
        <v>55.82154806</v>
      </c>
      <c r="F23" s="20" t="n">
        <v>2.80455918</v>
      </c>
      <c r="G23" s="18" t="n">
        <v>39.46794164</v>
      </c>
      <c r="H23" s="20" t="n">
        <v>2.6147367</v>
      </c>
      <c r="I23" s="18" t="s">
        <v>349</v>
      </c>
      <c r="J23" s="20" t="s">
        <v>349</v>
      </c>
      <c r="K23" s="18" t="n">
        <v>0.14507178</v>
      </c>
      <c r="L23" s="20" t="n">
        <v>0.14765768</v>
      </c>
      <c r="M23" s="18" t="n">
        <v>0</v>
      </c>
      <c r="N23" s="20" t="n">
        <v>0</v>
      </c>
      <c r="O23" s="18" t="n">
        <v>0</v>
      </c>
      <c r="P23" s="20" t="n">
        <v>0</v>
      </c>
      <c r="Q23" s="18" t="n">
        <v>4.56543852</v>
      </c>
      <c r="R23" s="20" t="n">
        <v>1.28709781</v>
      </c>
    </row>
    <row r="24" spans="1:18">
      <c r="A24" s="15" t="s">
        <v>366</v>
      </c>
      <c r="B24" s="17" t="n">
        <v>3309</v>
      </c>
      <c r="C24" s="18">
        <f>(2931.0/B24*100)</f>
        <v/>
      </c>
      <c r="D24" s="19" t="n">
        <v>378</v>
      </c>
      <c r="E24" s="18" t="n">
        <v>66.02436342999999</v>
      </c>
      <c r="F24" s="20" t="n">
        <v>2.35598389</v>
      </c>
      <c r="G24" s="18" t="n">
        <v>32.40292859</v>
      </c>
      <c r="H24" s="20" t="n">
        <v>2.2680795</v>
      </c>
      <c r="I24" s="18" t="s">
        <v>349</v>
      </c>
      <c r="J24" s="20" t="s">
        <v>349</v>
      </c>
      <c r="K24" s="18" t="n">
        <v>0</v>
      </c>
      <c r="L24" s="20" t="n">
        <v>0</v>
      </c>
      <c r="M24" s="18" t="n">
        <v>0</v>
      </c>
      <c r="N24" s="20" t="n">
        <v>0</v>
      </c>
      <c r="O24" s="18" t="n">
        <v>0</v>
      </c>
      <c r="P24" s="20" t="n">
        <v>0</v>
      </c>
      <c r="Q24" s="18" t="n">
        <v>1.57270798</v>
      </c>
      <c r="R24" s="20" t="n">
        <v>0.63903034</v>
      </c>
    </row>
    <row r="25" spans="1:18">
      <c r="A25" s="15" t="s">
        <v>367</v>
      </c>
      <c r="B25" s="17" t="n">
        <v>2669</v>
      </c>
      <c r="C25" s="18">
        <f>(2361.0/B25*100)</f>
        <v/>
      </c>
      <c r="D25" s="19" t="n">
        <v>308</v>
      </c>
      <c r="E25" s="18" t="n">
        <v>63.78883414</v>
      </c>
      <c r="F25" s="20" t="n">
        <v>3.11690777</v>
      </c>
      <c r="G25" s="18" t="n">
        <v>35.25554216</v>
      </c>
      <c r="H25" s="20" t="n">
        <v>3.11284302</v>
      </c>
      <c r="I25" s="18" t="s">
        <v>349</v>
      </c>
      <c r="J25" s="20" t="s">
        <v>349</v>
      </c>
      <c r="K25" s="18" t="n">
        <v>0</v>
      </c>
      <c r="L25" s="20" t="n">
        <v>0</v>
      </c>
      <c r="M25" s="18" t="n">
        <v>0</v>
      </c>
      <c r="N25" s="20" t="n">
        <v>0</v>
      </c>
      <c r="O25" s="18" t="n">
        <v>0</v>
      </c>
      <c r="P25" s="20" t="n">
        <v>0</v>
      </c>
      <c r="Q25" s="18" t="n">
        <v>0.9556237</v>
      </c>
      <c r="R25" s="20" t="n">
        <v>0.53462877</v>
      </c>
    </row>
    <row r="26" spans="1:18">
      <c r="A26" s="15" t="s">
        <v>368</v>
      </c>
      <c r="B26" s="17" t="n">
        <v>2419</v>
      </c>
      <c r="C26" s="18">
        <f>(2107.0/B26*100)</f>
        <v/>
      </c>
      <c r="D26" s="19" t="n">
        <v>312</v>
      </c>
      <c r="E26" s="18" t="n">
        <v>59.13336244</v>
      </c>
      <c r="F26" s="20" t="n">
        <v>3.16898167</v>
      </c>
      <c r="G26" s="18" t="n">
        <v>39.05364604</v>
      </c>
      <c r="H26" s="20" t="n">
        <v>3.26320534</v>
      </c>
      <c r="I26" s="18" t="s">
        <v>349</v>
      </c>
      <c r="J26" s="20" t="s">
        <v>349</v>
      </c>
      <c r="K26" s="18" t="n">
        <v>0.24493617</v>
      </c>
      <c r="L26" s="20" t="n">
        <v>0.2438561</v>
      </c>
      <c r="M26" s="18" t="n">
        <v>0</v>
      </c>
      <c r="N26" s="20" t="n">
        <v>0</v>
      </c>
      <c r="O26" s="18" t="n">
        <v>0</v>
      </c>
      <c r="P26" s="20" t="n">
        <v>0</v>
      </c>
      <c r="Q26" s="18" t="n">
        <v>1.56805535</v>
      </c>
      <c r="R26" s="20" t="n">
        <v>0.6093814400000001</v>
      </c>
    </row>
    <row r="27" spans="1:18">
      <c r="A27" s="15" t="s">
        <v>369</v>
      </c>
      <c r="B27" s="17" t="n">
        <v>2683</v>
      </c>
      <c r="C27" s="18">
        <f>(2355.0/B27*100)</f>
        <v/>
      </c>
      <c r="D27" s="19" t="n">
        <v>328</v>
      </c>
      <c r="E27" s="18" t="n">
        <v>48.40238394</v>
      </c>
      <c r="F27" s="20" t="n">
        <v>2.55915994</v>
      </c>
      <c r="G27" s="18" t="n">
        <v>49.1585505</v>
      </c>
      <c r="H27" s="20" t="n">
        <v>2.6390028</v>
      </c>
      <c r="I27" s="18" t="s">
        <v>349</v>
      </c>
      <c r="J27" s="20" t="s">
        <v>349</v>
      </c>
      <c r="K27" s="18" t="n">
        <v>0</v>
      </c>
      <c r="L27" s="20" t="n">
        <v>0</v>
      </c>
      <c r="M27" s="18" t="n">
        <v>0</v>
      </c>
      <c r="N27" s="20" t="n">
        <v>0</v>
      </c>
      <c r="O27" s="18" t="n">
        <v>0</v>
      </c>
      <c r="P27" s="20" t="n">
        <v>0</v>
      </c>
      <c r="Q27" s="18" t="n">
        <v>2.43906556</v>
      </c>
      <c r="R27" s="20" t="n">
        <v>0.87249194</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(2375.0/B29*100)</f>
        <v/>
      </c>
      <c r="D29" s="19" t="n">
        <v>325</v>
      </c>
      <c r="E29" s="18" t="n">
        <v>38.35955678</v>
      </c>
      <c r="F29" s="20" t="n">
        <v>2.94524051</v>
      </c>
      <c r="G29" s="18" t="n">
        <v>58.34865998</v>
      </c>
      <c r="H29" s="20" t="n">
        <v>2.81728375</v>
      </c>
      <c r="I29" s="18" t="s">
        <v>349</v>
      </c>
      <c r="J29" s="20" t="s">
        <v>349</v>
      </c>
      <c r="K29" s="18" t="n">
        <v>0.91563591</v>
      </c>
      <c r="L29" s="20" t="n">
        <v>0.51256934</v>
      </c>
      <c r="M29" s="18" t="n">
        <v>0</v>
      </c>
      <c r="N29" s="20" t="n">
        <v>0</v>
      </c>
      <c r="O29" s="18" t="n">
        <v>0</v>
      </c>
      <c r="P29" s="20" t="n">
        <v>0</v>
      </c>
      <c r="Q29" s="18" t="n">
        <v>2.37614733</v>
      </c>
      <c r="R29" s="20" t="n">
        <v>1.30953865</v>
      </c>
    </row>
    <row r="30" spans="1:18">
      <c r="A30" s="15" t="s">
        <v>372</v>
      </c>
      <c r="B30" s="17" t="n">
        <v>2257</v>
      </c>
      <c r="C30" s="18">
        <f>(1976.0/B30*100)</f>
        <v/>
      </c>
      <c r="D30" s="19" t="n">
        <v>281</v>
      </c>
      <c r="E30" s="18" t="n">
        <v>46.89271469</v>
      </c>
      <c r="F30" s="20" t="n">
        <v>3.42574734</v>
      </c>
      <c r="G30" s="18" t="n">
        <v>51.07571047</v>
      </c>
      <c r="H30" s="20" t="n">
        <v>3.2441953</v>
      </c>
      <c r="I30" s="18" t="s">
        <v>349</v>
      </c>
      <c r="J30" s="20" t="s">
        <v>349</v>
      </c>
      <c r="K30" s="18" t="n">
        <v>0</v>
      </c>
      <c r="L30" s="20" t="n">
        <v>0</v>
      </c>
      <c r="M30" s="18" t="n">
        <v>0</v>
      </c>
      <c r="N30" s="20" t="n">
        <v>0</v>
      </c>
      <c r="O30" s="18" t="n">
        <v>0</v>
      </c>
      <c r="P30" s="20" t="n">
        <v>0</v>
      </c>
      <c r="Q30" s="18" t="n">
        <v>2.03157485</v>
      </c>
      <c r="R30" s="20" t="n">
        <v>0.9006234</v>
      </c>
    </row>
    <row r="31" spans="1:18">
      <c r="A31" s="15" t="s">
        <v>373</v>
      </c>
      <c r="B31" s="17" t="n">
        <v>2706</v>
      </c>
      <c r="C31" s="18">
        <f>(2359.0/B31*100)</f>
        <v/>
      </c>
      <c r="D31" s="19" t="n">
        <v>347</v>
      </c>
      <c r="E31" s="18" t="n">
        <v>45.98043915</v>
      </c>
      <c r="F31" s="20" t="n">
        <v>2.88801708</v>
      </c>
      <c r="G31" s="18" t="n">
        <v>51.54979031</v>
      </c>
      <c r="H31" s="20" t="n">
        <v>2.7724717</v>
      </c>
      <c r="I31" s="18" t="s">
        <v>349</v>
      </c>
      <c r="J31" s="20" t="s">
        <v>349</v>
      </c>
      <c r="K31" s="18" t="n">
        <v>0.57625053</v>
      </c>
      <c r="L31" s="20" t="n">
        <v>0.39706782</v>
      </c>
      <c r="M31" s="18" t="n">
        <v>0</v>
      </c>
      <c r="N31" s="20" t="n">
        <v>0</v>
      </c>
      <c r="O31" s="18" t="n">
        <v>0</v>
      </c>
      <c r="P31" s="20" t="n">
        <v>0</v>
      </c>
      <c r="Q31" s="18" t="n">
        <v>1.89352001</v>
      </c>
      <c r="R31" s="20" t="n">
        <v>0.7112862</v>
      </c>
    </row>
    <row r="32" spans="1:18">
      <c r="A32" s="15" t="s">
        <v>374</v>
      </c>
      <c r="B32" s="17" t="n">
        <v>2209</v>
      </c>
      <c r="C32" s="18">
        <f>(1833.0/B32*100)</f>
        <v/>
      </c>
      <c r="D32" s="19" t="n">
        <v>376</v>
      </c>
      <c r="E32" s="18" t="n">
        <v>51.23925057</v>
      </c>
      <c r="F32" s="20" t="n">
        <v>2.60387506</v>
      </c>
      <c r="G32" s="18" t="n">
        <v>46.70044852</v>
      </c>
      <c r="H32" s="20" t="n">
        <v>2.59207116</v>
      </c>
      <c r="I32" s="18" t="s">
        <v>349</v>
      </c>
      <c r="J32" s="20" t="s">
        <v>349</v>
      </c>
      <c r="K32" s="18" t="n">
        <v>0.27017343</v>
      </c>
      <c r="L32" s="20" t="n">
        <v>0.26940679</v>
      </c>
      <c r="M32" s="18" t="n">
        <v>0</v>
      </c>
      <c r="N32" s="20" t="n">
        <v>0</v>
      </c>
      <c r="O32" s="18" t="n">
        <v>0</v>
      </c>
      <c r="P32" s="20" t="n">
        <v>0</v>
      </c>
      <c r="Q32" s="18" t="n">
        <v>1.79012747</v>
      </c>
      <c r="R32" s="20" t="n">
        <v>0.77867746</v>
      </c>
    </row>
    <row r="33" spans="1:18">
      <c r="A33" s="15" t="s">
        <v>375</v>
      </c>
      <c r="B33" s="17" t="n">
        <v>3651</v>
      </c>
      <c r="C33" s="18">
        <f>(3202.0/B33*100)</f>
        <v/>
      </c>
      <c r="D33" s="19" t="n">
        <v>449</v>
      </c>
      <c r="E33" s="18" t="n">
        <v>54.50279374</v>
      </c>
      <c r="F33" s="20" t="n">
        <v>2.43844044</v>
      </c>
      <c r="G33" s="18" t="n">
        <v>42.95939691</v>
      </c>
      <c r="H33" s="20" t="n">
        <v>2.41562797</v>
      </c>
      <c r="I33" s="18" t="s">
        <v>349</v>
      </c>
      <c r="J33" s="20" t="s">
        <v>349</v>
      </c>
      <c r="K33" s="18" t="n">
        <v>0.017266</v>
      </c>
      <c r="L33" s="20" t="n">
        <v>0.01724155</v>
      </c>
      <c r="M33" s="18" t="n">
        <v>0</v>
      </c>
      <c r="N33" s="20" t="n">
        <v>0</v>
      </c>
      <c r="O33" s="18" t="n">
        <v>0</v>
      </c>
      <c r="P33" s="20" t="n">
        <v>0</v>
      </c>
      <c r="Q33" s="18" t="n">
        <v>2.52054334</v>
      </c>
      <c r="R33" s="20" t="n">
        <v>1.12736225</v>
      </c>
    </row>
    <row r="34" spans="1:18">
      <c r="A34" s="15" t="s">
        <v>376</v>
      </c>
      <c r="B34" s="17" t="n">
        <v>3035</v>
      </c>
      <c r="C34" s="18">
        <f>(2643.0/B34*100)</f>
        <v/>
      </c>
      <c r="D34" s="19" t="n">
        <v>392</v>
      </c>
      <c r="E34" s="18" t="n">
        <v>50.15217325</v>
      </c>
      <c r="F34" s="20" t="n">
        <v>2.66391154</v>
      </c>
      <c r="G34" s="18" t="n">
        <v>47.03917014</v>
      </c>
      <c r="H34" s="20" t="n">
        <v>2.50465683</v>
      </c>
      <c r="I34" s="18" t="s">
        <v>349</v>
      </c>
      <c r="J34" s="20" t="s">
        <v>349</v>
      </c>
      <c r="K34" s="18" t="n">
        <v>0.22045964</v>
      </c>
      <c r="L34" s="20" t="n">
        <v>0.22996087</v>
      </c>
      <c r="M34" s="18" t="n">
        <v>0</v>
      </c>
      <c r="N34" s="20" t="n">
        <v>0</v>
      </c>
      <c r="O34" s="18" t="n">
        <v>0</v>
      </c>
      <c r="P34" s="20" t="n">
        <v>0</v>
      </c>
      <c r="Q34" s="18" t="n">
        <v>2.58819697</v>
      </c>
      <c r="R34" s="20" t="n">
        <v>0.86511489</v>
      </c>
    </row>
    <row r="35" spans="1:18">
      <c r="A35" s="15" t="s">
        <v>377</v>
      </c>
      <c r="B35" s="17" t="n">
        <v>2901</v>
      </c>
      <c r="C35" s="18">
        <f>(2532.0/B35*100)</f>
        <v/>
      </c>
      <c r="D35" s="19" t="n">
        <v>369</v>
      </c>
      <c r="E35" s="18" t="n">
        <v>51.79843222</v>
      </c>
      <c r="F35" s="20" t="n">
        <v>3.26370003</v>
      </c>
      <c r="G35" s="18" t="n">
        <v>45.39690049</v>
      </c>
      <c r="H35" s="20" t="n">
        <v>3.26930458</v>
      </c>
      <c r="I35" s="18" t="s">
        <v>349</v>
      </c>
      <c r="J35" s="20" t="s">
        <v>349</v>
      </c>
      <c r="K35" s="18" t="n">
        <v>0</v>
      </c>
      <c r="L35" s="20" t="n">
        <v>0</v>
      </c>
      <c r="M35" s="18" t="n">
        <v>0</v>
      </c>
      <c r="N35" s="20" t="n">
        <v>0</v>
      </c>
      <c r="O35" s="18" t="n">
        <v>0</v>
      </c>
      <c r="P35" s="20" t="n">
        <v>0</v>
      </c>
      <c r="Q35" s="18" t="n">
        <v>2.80466729</v>
      </c>
      <c r="R35" s="20" t="n">
        <v>0.803413</v>
      </c>
    </row>
    <row r="36" spans="1:18">
      <c r="A36" s="15" t="s">
        <v>378</v>
      </c>
      <c r="B36" s="17" t="n">
        <v>3404</v>
      </c>
      <c r="C36" s="18">
        <f>(2990.0/B36*100)</f>
        <v/>
      </c>
      <c r="D36" s="19" t="n">
        <v>414</v>
      </c>
      <c r="E36" s="18" t="n">
        <v>53.07882788</v>
      </c>
      <c r="F36" s="20" t="n">
        <v>2.3595569</v>
      </c>
      <c r="G36" s="18" t="n">
        <v>43.00156461</v>
      </c>
      <c r="H36" s="20" t="n">
        <v>2.35664705</v>
      </c>
      <c r="I36" s="18" t="s">
        <v>349</v>
      </c>
      <c r="J36" s="20" t="s">
        <v>349</v>
      </c>
      <c r="K36" s="18" t="n">
        <v>0.36483527</v>
      </c>
      <c r="L36" s="20" t="n">
        <v>0.36954918</v>
      </c>
      <c r="M36" s="18" t="n">
        <v>0</v>
      </c>
      <c r="N36" s="20" t="n">
        <v>0</v>
      </c>
      <c r="O36" s="18" t="n">
        <v>0</v>
      </c>
      <c r="P36" s="20" t="n">
        <v>0</v>
      </c>
      <c r="Q36" s="18" t="n">
        <v>3.55477224</v>
      </c>
      <c r="R36" s="20" t="n">
        <v>1.07031935</v>
      </c>
    </row>
    <row r="37" spans="1:18">
      <c r="A37" s="15" t="s">
        <v>379</v>
      </c>
      <c r="B37" s="17" t="n">
        <v>2731</v>
      </c>
      <c r="C37" s="18">
        <f>(2397.0/B37*100)</f>
        <v/>
      </c>
      <c r="D37" s="19" t="n">
        <v>334</v>
      </c>
      <c r="E37" s="18" t="n">
        <v>46.07047666</v>
      </c>
      <c r="F37" s="20" t="n">
        <v>3.31453596</v>
      </c>
      <c r="G37" s="18" t="n">
        <v>45.1594301</v>
      </c>
      <c r="H37" s="20" t="n">
        <v>3.26105627</v>
      </c>
      <c r="I37" s="18" t="s">
        <v>349</v>
      </c>
      <c r="J37" s="20" t="s">
        <v>349</v>
      </c>
      <c r="K37" s="18" t="n">
        <v>1.62725914</v>
      </c>
      <c r="L37" s="20" t="n">
        <v>0.67179848</v>
      </c>
      <c r="M37" s="18" t="n">
        <v>0</v>
      </c>
      <c r="N37" s="20" t="n">
        <v>0</v>
      </c>
      <c r="O37" s="18" t="n">
        <v>0</v>
      </c>
      <c r="P37" s="20" t="n">
        <v>0</v>
      </c>
      <c r="Q37" s="18" t="n">
        <v>7.1428341</v>
      </c>
      <c r="R37" s="20" t="n">
        <v>1.47598798</v>
      </c>
    </row>
    <row r="38" spans="1:18">
      <c r="A38" s="15" t="s">
        <v>380</v>
      </c>
      <c r="B38" s="17" t="n">
        <v>2807</v>
      </c>
      <c r="C38" s="18">
        <f>(2354.0/B38*100)</f>
        <v/>
      </c>
      <c r="D38" s="19" t="n">
        <v>453</v>
      </c>
      <c r="E38" s="18" t="n">
        <v>47.35322218</v>
      </c>
      <c r="F38" s="20" t="n">
        <v>2.78015903</v>
      </c>
      <c r="G38" s="18" t="n">
        <v>51.53210208</v>
      </c>
      <c r="H38" s="20" t="n">
        <v>2.84560781</v>
      </c>
      <c r="I38" s="18" t="s">
        <v>349</v>
      </c>
      <c r="J38" s="20" t="s">
        <v>349</v>
      </c>
      <c r="K38" s="18" t="n">
        <v>0.02878853</v>
      </c>
      <c r="L38" s="20" t="n">
        <v>0.02353073</v>
      </c>
      <c r="M38" s="18" t="n">
        <v>0</v>
      </c>
      <c r="N38" s="20" t="n">
        <v>0</v>
      </c>
      <c r="O38" s="18" t="n">
        <v>0</v>
      </c>
      <c r="P38" s="20" t="n">
        <v>0</v>
      </c>
      <c r="Q38" s="18" t="n">
        <v>1.0858872</v>
      </c>
      <c r="R38" s="20" t="n">
        <v>0.5586270800000001</v>
      </c>
    </row>
    <row r="39" spans="1:18">
      <c r="A39" s="15" t="s">
        <v>381</v>
      </c>
      <c r="B39" s="17" t="n">
        <v>2938</v>
      </c>
      <c r="C39" s="18">
        <f>(2566.0/B39*100)</f>
        <v/>
      </c>
      <c r="D39" s="19" t="n">
        <v>372</v>
      </c>
      <c r="E39" s="18" t="n">
        <v>75.89790904</v>
      </c>
      <c r="F39" s="20" t="n">
        <v>2.22645221</v>
      </c>
      <c r="G39" s="18" t="n">
        <v>22.89997133</v>
      </c>
      <c r="H39" s="20" t="n">
        <v>2.23693274</v>
      </c>
      <c r="I39" s="18" t="s">
        <v>349</v>
      </c>
      <c r="J39" s="20" t="s">
        <v>349</v>
      </c>
      <c r="K39" s="18" t="n">
        <v>0</v>
      </c>
      <c r="L39" s="20" t="n">
        <v>0</v>
      </c>
      <c r="M39" s="18" t="n">
        <v>0</v>
      </c>
      <c r="N39" s="20" t="n">
        <v>0</v>
      </c>
      <c r="O39" s="18" t="n">
        <v>0</v>
      </c>
      <c r="P39" s="20" t="n">
        <v>0</v>
      </c>
      <c r="Q39" s="18" t="n">
        <v>1.20211962</v>
      </c>
      <c r="R39" s="20" t="n">
        <v>0.42204222</v>
      </c>
    </row>
    <row r="40" spans="1:18">
      <c r="A40" s="15" t="s">
        <v>382</v>
      </c>
      <c r="B40" s="17" t="n">
        <v>6922</v>
      </c>
      <c r="C40" s="18">
        <f>(6014.0/B40*100)</f>
        <v/>
      </c>
      <c r="D40" s="19" t="n">
        <v>908</v>
      </c>
      <c r="E40" s="18" t="n">
        <v>55.61406708</v>
      </c>
      <c r="F40" s="20" t="n">
        <v>2.51284424</v>
      </c>
      <c r="G40" s="18" t="n">
        <v>41.2073673</v>
      </c>
      <c r="H40" s="20" t="n">
        <v>2.54695096</v>
      </c>
      <c r="I40" s="18" t="s">
        <v>349</v>
      </c>
      <c r="J40" s="20" t="s">
        <v>349</v>
      </c>
      <c r="K40" s="18" t="n">
        <v>0.51423755</v>
      </c>
      <c r="L40" s="20" t="n">
        <v>0.32539011</v>
      </c>
      <c r="M40" s="18" t="n">
        <v>0</v>
      </c>
      <c r="N40" s="20" t="n">
        <v>0</v>
      </c>
      <c r="O40" s="18" t="n">
        <v>0</v>
      </c>
      <c r="P40" s="20" t="n">
        <v>0</v>
      </c>
      <c r="Q40" s="18" t="n">
        <v>2.66432807</v>
      </c>
      <c r="R40" s="20" t="n">
        <v>0.77094285</v>
      </c>
    </row>
    <row r="41" spans="1:18">
      <c r="A41" s="15" t="s">
        <v>383</v>
      </c>
      <c r="B41" s="17" t="n">
        <v>2854</v>
      </c>
      <c r="C41" s="18">
        <f>(2489.0/B41*100)</f>
        <v/>
      </c>
      <c r="D41" s="19" t="n">
        <v>365</v>
      </c>
      <c r="E41" s="18" t="n">
        <v>57.14659875</v>
      </c>
      <c r="F41" s="20" t="n">
        <v>2.45145328</v>
      </c>
      <c r="G41" s="18" t="n">
        <v>42.29747686</v>
      </c>
      <c r="H41" s="20" t="n">
        <v>2.4127048</v>
      </c>
      <c r="I41" s="18" t="s">
        <v>349</v>
      </c>
      <c r="J41" s="20" t="s">
        <v>349</v>
      </c>
      <c r="K41" s="18" t="n">
        <v>0</v>
      </c>
      <c r="L41" s="20" t="n">
        <v>0</v>
      </c>
      <c r="M41" s="18" t="n">
        <v>0</v>
      </c>
      <c r="N41" s="20" t="n">
        <v>0</v>
      </c>
      <c r="O41" s="18" t="n">
        <v>0</v>
      </c>
      <c r="P41" s="20" t="n">
        <v>0</v>
      </c>
      <c r="Q41" s="18" t="n">
        <v>0.55592439</v>
      </c>
      <c r="R41" s="20" t="n">
        <v>0.40214517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(4111.0/B48*100)</f>
        <v/>
      </c>
      <c r="D48" s="19" t="n">
        <v>571</v>
      </c>
      <c r="E48" s="18" t="n">
        <v>56.98274262</v>
      </c>
      <c r="F48" s="20" t="n">
        <v>2.95787665</v>
      </c>
      <c r="G48" s="18" t="n">
        <v>41.73150631</v>
      </c>
      <c r="H48" s="20" t="n">
        <v>2.90157591</v>
      </c>
      <c r="I48" s="18" t="s">
        <v>349</v>
      </c>
      <c r="J48" s="20" t="s">
        <v>349</v>
      </c>
      <c r="K48" s="18" t="n">
        <v>0.38558326</v>
      </c>
      <c r="L48" s="20" t="n">
        <v>0.32939636</v>
      </c>
      <c r="M48" s="18" t="n">
        <v>0</v>
      </c>
      <c r="N48" s="20" t="n">
        <v>0</v>
      </c>
      <c r="O48" s="18" t="n">
        <v>0</v>
      </c>
      <c r="P48" s="20" t="n">
        <v>0</v>
      </c>
      <c r="Q48" s="18" t="n">
        <v>0.90016781</v>
      </c>
      <c r="R48" s="20" t="n">
        <v>0.52516695</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(2623.0/B52*100)</f>
        <v/>
      </c>
      <c r="D52" s="19" t="n">
        <v>390</v>
      </c>
      <c r="E52" s="18" t="n">
        <v>53.55216263</v>
      </c>
      <c r="F52" s="20" t="n">
        <v>2.41806766</v>
      </c>
      <c r="G52" s="18" t="n">
        <v>41.00697966</v>
      </c>
      <c r="H52" s="20" t="n">
        <v>2.3684059</v>
      </c>
      <c r="I52" s="18" t="s">
        <v>349</v>
      </c>
      <c r="J52" s="20" t="s">
        <v>349</v>
      </c>
      <c r="K52" s="18" t="n">
        <v>0.72016484</v>
      </c>
      <c r="L52" s="20" t="n">
        <v>0.40152383</v>
      </c>
      <c r="M52" s="18" t="n">
        <v>0</v>
      </c>
      <c r="N52" s="20" t="n">
        <v>0</v>
      </c>
      <c r="O52" s="18" t="n">
        <v>0</v>
      </c>
      <c r="P52" s="20" t="n">
        <v>0</v>
      </c>
      <c r="Q52" s="18" t="n">
        <v>4.72069287</v>
      </c>
      <c r="R52" s="20" t="n">
        <v>1.07672974</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49.57241357</v>
      </c>
      <c r="F56" s="20" t="n">
        <v>2.824148</v>
      </c>
      <c r="G56" s="18" t="n">
        <v>49.81553924</v>
      </c>
      <c r="H56" s="20" t="n">
        <v>2.84796218</v>
      </c>
      <c r="I56" s="18" t="s">
        <v>349</v>
      </c>
      <c r="J56" s="20" t="s">
        <v>349</v>
      </c>
      <c r="K56" s="18" t="n">
        <v>0</v>
      </c>
      <c r="L56" s="20" t="n">
        <v>0</v>
      </c>
      <c r="M56" s="18" t="n">
        <v>0</v>
      </c>
      <c r="N56" s="20" t="n">
        <v>0</v>
      </c>
      <c r="O56" s="18" t="n">
        <v>0</v>
      </c>
      <c r="P56" s="20" t="n">
        <v>0</v>
      </c>
      <c r="Q56" s="18" t="n">
        <v>0.61204719</v>
      </c>
      <c r="R56" s="20" t="n">
        <v>0.47268015</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(2821.0/B61*100)</f>
        <v/>
      </c>
      <c r="D61" s="19" t="n">
        <v>380</v>
      </c>
      <c r="E61" s="18" t="n">
        <v>56.64518869</v>
      </c>
      <c r="F61" s="20" t="n">
        <v>3.07578559</v>
      </c>
      <c r="G61" s="18" t="n">
        <v>41.68825528</v>
      </c>
      <c r="H61" s="20" t="n">
        <v>3.06747366</v>
      </c>
      <c r="I61" s="18" t="s">
        <v>349</v>
      </c>
      <c r="J61" s="20" t="s">
        <v>349</v>
      </c>
      <c r="K61" s="18" t="n">
        <v>0.26032659</v>
      </c>
      <c r="L61" s="20" t="n">
        <v>0.25137758</v>
      </c>
      <c r="M61" s="18" t="n">
        <v>0</v>
      </c>
      <c r="N61" s="20" t="n">
        <v>0</v>
      </c>
      <c r="O61" s="18" t="n">
        <v>0</v>
      </c>
      <c r="P61" s="20" t="n">
        <v>0</v>
      </c>
      <c r="Q61" s="18" t="n">
        <v>1.40622944</v>
      </c>
      <c r="R61" s="20" t="n">
        <v>0.612968</v>
      </c>
    </row>
    <row r="62" spans="1:18">
      <c r="A62" s="15" t="s">
        <v>404</v>
      </c>
      <c r="B62" s="17" t="n">
        <v>2230</v>
      </c>
      <c r="C62" s="18">
        <f>(1949.0/B62*100)</f>
        <v/>
      </c>
      <c r="D62" s="19" t="n">
        <v>281</v>
      </c>
      <c r="E62" s="18" t="n">
        <v>55.84878866</v>
      </c>
      <c r="F62" s="20" t="n">
        <v>2.92546523</v>
      </c>
      <c r="G62" s="18" t="n">
        <v>44.15121134</v>
      </c>
      <c r="H62" s="20" t="n">
        <v>2.92546523</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(2443.0/B66*100)</f>
        <v/>
      </c>
      <c r="D66" s="19" t="n">
        <v>328</v>
      </c>
      <c r="E66" s="18" t="n">
        <v>67.65122538</v>
      </c>
      <c r="F66" s="20" t="n">
        <v>2.65394144</v>
      </c>
      <c r="G66" s="18" t="n">
        <v>22.82824023</v>
      </c>
      <c r="H66" s="20" t="n">
        <v>2.22445439</v>
      </c>
      <c r="I66" s="18" t="s">
        <v>349</v>
      </c>
      <c r="J66" s="20" t="s">
        <v>349</v>
      </c>
      <c r="K66" s="18" t="n">
        <v>0.25229375</v>
      </c>
      <c r="L66" s="20" t="n">
        <v>0.25396802</v>
      </c>
      <c r="M66" s="18" t="n">
        <v>0</v>
      </c>
      <c r="N66" s="20" t="n">
        <v>0</v>
      </c>
      <c r="O66" s="18" t="n">
        <v>0</v>
      </c>
      <c r="P66" s="20" t="n">
        <v>0</v>
      </c>
      <c r="Q66" s="18" t="n">
        <v>9.26824064</v>
      </c>
      <c r="R66" s="20" t="n">
        <v>1.4611161</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(5032.0/B68*100)</f>
        <v/>
      </c>
      <c r="D68" s="19" t="n">
        <v>1002</v>
      </c>
      <c r="E68" s="18" t="n">
        <v>71.28291491</v>
      </c>
      <c r="F68" s="20" t="n">
        <v>1.38128806</v>
      </c>
      <c r="G68" s="18" t="n">
        <v>24.13309439</v>
      </c>
      <c r="H68" s="20" t="n">
        <v>1.32597435</v>
      </c>
      <c r="I68" s="18" t="s">
        <v>349</v>
      </c>
      <c r="J68" s="20" t="s">
        <v>349</v>
      </c>
      <c r="K68" s="18" t="n">
        <v>0.58062798</v>
      </c>
      <c r="L68" s="20" t="n">
        <v>0.27628551</v>
      </c>
      <c r="M68" s="18" t="n">
        <v>0</v>
      </c>
      <c r="N68" s="20" t="n">
        <v>0</v>
      </c>
      <c r="O68" s="18" t="n">
        <v>0</v>
      </c>
      <c r="P68" s="20" t="n">
        <v>0</v>
      </c>
      <c r="Q68" s="18" t="n">
        <v>4.00336273</v>
      </c>
      <c r="R68" s="20" t="n">
        <v>0.7125048899999999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(2705.0/B70*100)</f>
        <v/>
      </c>
      <c r="D70" s="19" t="n">
        <v>402</v>
      </c>
      <c r="E70" s="18" t="n">
        <v>44.84755403</v>
      </c>
      <c r="F70" s="20" t="n">
        <v>2.72539752</v>
      </c>
      <c r="G70" s="18" t="n">
        <v>51.69992034</v>
      </c>
      <c r="H70" s="20" t="n">
        <v>3.0857363</v>
      </c>
      <c r="I70" s="18" t="s">
        <v>349</v>
      </c>
      <c r="J70" s="20" t="s">
        <v>349</v>
      </c>
      <c r="K70" s="18" t="n">
        <v>0.26693222</v>
      </c>
      <c r="L70" s="20" t="n">
        <v>0.26395921</v>
      </c>
      <c r="M70" s="18" t="n">
        <v>0</v>
      </c>
      <c r="N70" s="20" t="n">
        <v>0</v>
      </c>
      <c r="O70" s="18" t="n">
        <v>0</v>
      </c>
      <c r="P70" s="20" t="n">
        <v>0</v>
      </c>
      <c r="Q70" s="18" t="n">
        <v>3.18559341</v>
      </c>
      <c r="R70" s="20" t="n">
        <v>1.00792591</v>
      </c>
    </row>
    <row r="71" spans="1:18">
      <c r="A71" s="15" t="s">
        <v>413</v>
      </c>
      <c r="B71" s="17" t="n">
        <v>2973</v>
      </c>
      <c r="C71" s="18">
        <f>(2598.0/B71*100)</f>
        <v/>
      </c>
      <c r="D71" s="19" t="n">
        <v>375</v>
      </c>
      <c r="E71" s="18" t="n">
        <v>44.29604546</v>
      </c>
      <c r="F71" s="20" t="n">
        <v>2.7978913</v>
      </c>
      <c r="G71" s="18" t="n">
        <v>54.96599979</v>
      </c>
      <c r="H71" s="20" t="n">
        <v>2.79684357</v>
      </c>
      <c r="I71" s="18" t="s">
        <v>349</v>
      </c>
      <c r="J71" s="20" t="s">
        <v>349</v>
      </c>
      <c r="K71" s="18" t="n">
        <v>0</v>
      </c>
      <c r="L71" s="20" t="n">
        <v>0</v>
      </c>
      <c r="M71" s="18" t="n">
        <v>0</v>
      </c>
      <c r="N71" s="20" t="n">
        <v>0</v>
      </c>
      <c r="O71" s="18" t="n">
        <v>0</v>
      </c>
      <c r="P71" s="20" t="n">
        <v>0</v>
      </c>
      <c r="Q71" s="18" t="n">
        <v>0.73795475</v>
      </c>
      <c r="R71" s="20" t="n">
        <v>0.42563645</v>
      </c>
    </row>
    <row r="72" spans="1:18">
      <c r="A72" s="15" t="s">
        <v>414</v>
      </c>
      <c r="B72" s="17" t="n">
        <v>3819</v>
      </c>
      <c r="C72" s="18">
        <f>(3341.0/B72*100)</f>
        <v/>
      </c>
      <c r="D72" s="19" t="n">
        <v>478</v>
      </c>
      <c r="E72" s="18" t="n">
        <v>56.54788871</v>
      </c>
      <c r="F72" s="20" t="n">
        <v>2.31852518</v>
      </c>
      <c r="G72" s="18" t="n">
        <v>42.03535059</v>
      </c>
      <c r="H72" s="20" t="n">
        <v>2.30221597</v>
      </c>
      <c r="I72" s="18" t="s">
        <v>349</v>
      </c>
      <c r="J72" s="20" t="s">
        <v>349</v>
      </c>
      <c r="K72" s="18" t="n">
        <v>0</v>
      </c>
      <c r="L72" s="20" t="n">
        <v>0</v>
      </c>
      <c r="M72" s="18" t="n">
        <v>0</v>
      </c>
      <c r="N72" s="20" t="n">
        <v>0</v>
      </c>
      <c r="O72" s="18" t="n">
        <v>0</v>
      </c>
      <c r="P72" s="20" t="n">
        <v>0</v>
      </c>
      <c r="Q72" s="18" t="n">
        <v>1.4167607</v>
      </c>
      <c r="R72" s="20" t="n">
        <v>0.64647438</v>
      </c>
    </row>
    <row r="73" spans="1:18">
      <c r="A73" s="15" t="s">
        <v>415</v>
      </c>
      <c r="B73" s="17" t="n">
        <v>4652</v>
      </c>
      <c r="C73" s="18">
        <f>(4094.0/B73*100)</f>
        <v/>
      </c>
      <c r="D73" s="19" t="n">
        <v>558</v>
      </c>
      <c r="E73" s="18" t="n">
        <v>76.6102363</v>
      </c>
      <c r="F73" s="20" t="n">
        <v>2.03722974</v>
      </c>
      <c r="G73" s="18" t="n">
        <v>22.35714312</v>
      </c>
      <c r="H73" s="20" t="n">
        <v>2.04605317</v>
      </c>
      <c r="I73" s="18" t="s">
        <v>349</v>
      </c>
      <c r="J73" s="20" t="s">
        <v>349</v>
      </c>
      <c r="K73" s="18" t="n">
        <v>0</v>
      </c>
      <c r="L73" s="20" t="n">
        <v>0</v>
      </c>
      <c r="M73" s="18" t="n">
        <v>0</v>
      </c>
      <c r="N73" s="20" t="n">
        <v>0</v>
      </c>
      <c r="O73" s="18" t="n">
        <v>0</v>
      </c>
      <c r="P73" s="20" t="n">
        <v>0</v>
      </c>
      <c r="Q73" s="18" t="n">
        <v>1.03262059</v>
      </c>
      <c r="R73" s="20" t="n">
        <v>0.50866837</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(4102.0/B81*100)</f>
        <v/>
      </c>
      <c r="D81" s="19" t="n">
        <v>596</v>
      </c>
      <c r="E81" s="18" t="n">
        <v>58.5862259</v>
      </c>
      <c r="F81" s="20" t="n">
        <v>2.43055368</v>
      </c>
      <c r="G81" s="18" t="n">
        <v>40.90013856</v>
      </c>
      <c r="H81" s="20" t="n">
        <v>2.43424661</v>
      </c>
      <c r="I81" s="18" t="s">
        <v>349</v>
      </c>
      <c r="J81" s="20" t="s">
        <v>349</v>
      </c>
      <c r="K81" s="18" t="n">
        <v>0</v>
      </c>
      <c r="L81" s="20" t="n">
        <v>0</v>
      </c>
      <c r="M81" s="18" t="n">
        <v>0</v>
      </c>
      <c r="N81" s="20" t="n">
        <v>0</v>
      </c>
      <c r="O81" s="18" t="n">
        <v>0</v>
      </c>
      <c r="P81" s="20" t="n">
        <v>0</v>
      </c>
      <c r="Q81" s="18" t="n">
        <v>0.51363554</v>
      </c>
      <c r="R81" s="20" t="n">
        <v>0.35995298</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(6289.0/B7*100)</f>
        <v/>
      </c>
      <c r="D7" s="19" t="n">
        <v>874</v>
      </c>
      <c r="E7" s="18" t="n">
        <v>30.51189047</v>
      </c>
      <c r="F7" s="20" t="n">
        <v>1.85662352</v>
      </c>
      <c r="G7" s="18" t="n">
        <v>63.79651112</v>
      </c>
      <c r="H7" s="20" t="n">
        <v>1.69661466</v>
      </c>
      <c r="I7" s="18" t="s">
        <v>349</v>
      </c>
      <c r="J7" s="20" t="s">
        <v>349</v>
      </c>
      <c r="K7" s="18" t="n">
        <v>0.2595754</v>
      </c>
      <c r="L7" s="20" t="n">
        <v>0.08794887</v>
      </c>
      <c r="M7" s="18" t="n">
        <v>0</v>
      </c>
      <c r="N7" s="20" t="n">
        <v>0</v>
      </c>
      <c r="O7" s="18" t="n">
        <v>0</v>
      </c>
      <c r="P7" s="20" t="n">
        <v>0</v>
      </c>
      <c r="Q7" s="18" t="n">
        <v>5.43202301</v>
      </c>
      <c r="R7" s="20" t="n">
        <v>0.84815929</v>
      </c>
    </row>
    <row r="8" spans="1:18">
      <c r="A8" s="15" t="s">
        <v>350</v>
      </c>
      <c r="B8" s="17" t="n">
        <v>3443</v>
      </c>
      <c r="C8" s="18">
        <f>(3012.0/B8*100)</f>
        <v/>
      </c>
      <c r="D8" s="19" t="n">
        <v>431</v>
      </c>
      <c r="E8" s="18" t="n">
        <v>28.72249961</v>
      </c>
      <c r="F8" s="20" t="n">
        <v>2.55618345</v>
      </c>
      <c r="G8" s="18" t="n">
        <v>64.78167073</v>
      </c>
      <c r="H8" s="20" t="n">
        <v>2.70587212</v>
      </c>
      <c r="I8" s="18" t="s">
        <v>349</v>
      </c>
      <c r="J8" s="20" t="s">
        <v>349</v>
      </c>
      <c r="K8" s="18" t="n">
        <v>0.28992082</v>
      </c>
      <c r="L8" s="20" t="n">
        <v>0.2052914</v>
      </c>
      <c r="M8" s="18" t="n">
        <v>0</v>
      </c>
      <c r="N8" s="20" t="n">
        <v>0</v>
      </c>
      <c r="O8" s="18" t="n">
        <v>0</v>
      </c>
      <c r="P8" s="20" t="n">
        <v>0</v>
      </c>
      <c r="Q8" s="18" t="n">
        <v>6.20590885</v>
      </c>
      <c r="R8" s="20" t="n">
        <v>1.26823234</v>
      </c>
    </row>
    <row r="9" spans="1:18">
      <c r="A9" s="15" t="s">
        <v>351</v>
      </c>
      <c r="B9" s="17" t="n">
        <v>4752</v>
      </c>
      <c r="C9" s="18">
        <f>(4165.0/B9*100)</f>
        <v/>
      </c>
      <c r="D9" s="19" t="n">
        <v>587</v>
      </c>
      <c r="E9" s="18" t="n">
        <v>24.59483815</v>
      </c>
      <c r="F9" s="20" t="n">
        <v>1.97414393</v>
      </c>
      <c r="G9" s="18" t="n">
        <v>70.33085389999999</v>
      </c>
      <c r="H9" s="20" t="n">
        <v>1.84250585</v>
      </c>
      <c r="I9" s="18" t="s">
        <v>349</v>
      </c>
      <c r="J9" s="20" t="s">
        <v>349</v>
      </c>
      <c r="K9" s="18" t="n">
        <v>0.1885296</v>
      </c>
      <c r="L9" s="20" t="n">
        <v>0.19558378</v>
      </c>
      <c r="M9" s="18" t="n">
        <v>0</v>
      </c>
      <c r="N9" s="20" t="n">
        <v>0</v>
      </c>
      <c r="O9" s="18" t="n">
        <v>0</v>
      </c>
      <c r="P9" s="20" t="n">
        <v>0</v>
      </c>
      <c r="Q9" s="18" t="n">
        <v>4.88577835</v>
      </c>
      <c r="R9" s="20" t="n">
        <v>0.95794586</v>
      </c>
    </row>
    <row r="10" spans="1:18">
      <c r="A10" s="15" t="s">
        <v>352</v>
      </c>
      <c r="B10" s="17" t="n">
        <v>10022</v>
      </c>
      <c r="C10" s="18">
        <f>(8797.0/B10*100)</f>
        <v/>
      </c>
      <c r="D10" s="19" t="n">
        <v>1225</v>
      </c>
      <c r="E10" s="18" t="n">
        <v>21.69831521</v>
      </c>
      <c r="F10" s="20" t="n">
        <v>1.72340108</v>
      </c>
      <c r="G10" s="18" t="n">
        <v>74.72414616</v>
      </c>
      <c r="H10" s="20" t="n">
        <v>1.89131308</v>
      </c>
      <c r="I10" s="18" t="s">
        <v>349</v>
      </c>
      <c r="J10" s="20" t="s">
        <v>349</v>
      </c>
      <c r="K10" s="18" t="n">
        <v>0.2797836</v>
      </c>
      <c r="L10" s="20" t="n">
        <v>0.22262237</v>
      </c>
      <c r="M10" s="18" t="n">
        <v>0</v>
      </c>
      <c r="N10" s="20" t="n">
        <v>0</v>
      </c>
      <c r="O10" s="18" t="n">
        <v>0</v>
      </c>
      <c r="P10" s="20" t="n">
        <v>0</v>
      </c>
      <c r="Q10" s="18" t="n">
        <v>3.29775503</v>
      </c>
      <c r="R10" s="20" t="n">
        <v>0.81209338</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(3008.0/B12*100)</f>
        <v/>
      </c>
      <c r="D12" s="19" t="n">
        <v>414</v>
      </c>
      <c r="E12" s="18" t="n">
        <v>17.41603436</v>
      </c>
      <c r="F12" s="20" t="n">
        <v>2.02326503</v>
      </c>
      <c r="G12" s="18" t="n">
        <v>76.73877809</v>
      </c>
      <c r="H12" s="20" t="n">
        <v>2.35859046</v>
      </c>
      <c r="I12" s="18" t="s">
        <v>349</v>
      </c>
      <c r="J12" s="20" t="s">
        <v>349</v>
      </c>
      <c r="K12" s="18" t="n">
        <v>0</v>
      </c>
      <c r="L12" s="20" t="n">
        <v>0</v>
      </c>
      <c r="M12" s="18" t="n">
        <v>0</v>
      </c>
      <c r="N12" s="20" t="n">
        <v>0</v>
      </c>
      <c r="O12" s="18" t="n">
        <v>0</v>
      </c>
      <c r="P12" s="20" t="n">
        <v>0</v>
      </c>
      <c r="Q12" s="18" t="n">
        <v>5.84518754</v>
      </c>
      <c r="R12" s="20" t="n">
        <v>1.45971321</v>
      </c>
    </row>
    <row r="13" spans="1:18">
      <c r="A13" s="15" t="s">
        <v>355</v>
      </c>
      <c r="B13" s="17" t="n">
        <v>3602</v>
      </c>
      <c r="C13" s="18">
        <f>(3184.0/B13*100)</f>
        <v/>
      </c>
      <c r="D13" s="19" t="n">
        <v>418</v>
      </c>
      <c r="E13" s="18" t="n">
        <v>26.15344048</v>
      </c>
      <c r="F13" s="20" t="n">
        <v>2.00982186</v>
      </c>
      <c r="G13" s="18" t="n">
        <v>68.78850795</v>
      </c>
      <c r="H13" s="20" t="n">
        <v>2.37265419</v>
      </c>
      <c r="I13" s="18" t="s">
        <v>349</v>
      </c>
      <c r="J13" s="20" t="s">
        <v>349</v>
      </c>
      <c r="K13" s="18" t="n">
        <v>1.02165387</v>
      </c>
      <c r="L13" s="20" t="n">
        <v>0.60206034</v>
      </c>
      <c r="M13" s="18" t="n">
        <v>0</v>
      </c>
      <c r="N13" s="20" t="n">
        <v>0</v>
      </c>
      <c r="O13" s="18" t="n">
        <v>0</v>
      </c>
      <c r="P13" s="20" t="n">
        <v>0</v>
      </c>
      <c r="Q13" s="18" t="n">
        <v>4.0363977</v>
      </c>
      <c r="R13" s="20" t="n">
        <v>1.18728179</v>
      </c>
    </row>
    <row r="14" spans="1:18">
      <c r="A14" s="15" t="s">
        <v>356</v>
      </c>
      <c r="B14" s="17" t="n">
        <v>2788</v>
      </c>
      <c r="C14" s="18">
        <f>(2453.0/B14*100)</f>
        <v/>
      </c>
      <c r="D14" s="19" t="n">
        <v>335</v>
      </c>
      <c r="E14" s="18" t="n">
        <v>19.05198421</v>
      </c>
      <c r="F14" s="20" t="n">
        <v>2.01653988</v>
      </c>
      <c r="G14" s="18" t="n">
        <v>79.31062752</v>
      </c>
      <c r="H14" s="20" t="n">
        <v>2.15611966</v>
      </c>
      <c r="I14" s="18" t="s">
        <v>349</v>
      </c>
      <c r="J14" s="20" t="s">
        <v>349</v>
      </c>
      <c r="K14" s="18" t="n">
        <v>0</v>
      </c>
      <c r="L14" s="20" t="n">
        <v>0</v>
      </c>
      <c r="M14" s="18" t="n">
        <v>0</v>
      </c>
      <c r="N14" s="20" t="n">
        <v>0</v>
      </c>
      <c r="O14" s="18" t="n">
        <v>0</v>
      </c>
      <c r="P14" s="20" t="n">
        <v>0</v>
      </c>
      <c r="Q14" s="18" t="n">
        <v>1.63738826</v>
      </c>
      <c r="R14" s="20" t="n">
        <v>0.79620071</v>
      </c>
    </row>
    <row r="15" spans="1:18">
      <c r="A15" s="15" t="s">
        <v>357</v>
      </c>
      <c r="B15" s="17" t="n">
        <v>2863</v>
      </c>
      <c r="C15" s="18">
        <f>(2513.0/B15*100)</f>
        <v/>
      </c>
      <c r="D15" s="19" t="n">
        <v>350</v>
      </c>
      <c r="E15" s="18" t="n">
        <v>25.56244758</v>
      </c>
      <c r="F15" s="20" t="n">
        <v>2.32960162</v>
      </c>
      <c r="G15" s="18" t="n">
        <v>71.39900402000001</v>
      </c>
      <c r="H15" s="20" t="n">
        <v>2.4019557</v>
      </c>
      <c r="I15" s="18" t="s">
        <v>349</v>
      </c>
      <c r="J15" s="20" t="s">
        <v>349</v>
      </c>
      <c r="K15" s="18" t="n">
        <v>0.58840694</v>
      </c>
      <c r="L15" s="20" t="n">
        <v>0.39916704</v>
      </c>
      <c r="M15" s="18" t="n">
        <v>0</v>
      </c>
      <c r="N15" s="20" t="n">
        <v>0</v>
      </c>
      <c r="O15" s="18" t="n">
        <v>0</v>
      </c>
      <c r="P15" s="20" t="n">
        <v>0</v>
      </c>
      <c r="Q15" s="18" t="n">
        <v>2.45014146</v>
      </c>
      <c r="R15" s="20" t="n">
        <v>0.71208528</v>
      </c>
    </row>
    <row r="16" spans="1:18">
      <c r="A16" s="15" t="s">
        <v>358</v>
      </c>
      <c r="B16" s="17" t="n">
        <v>3111</v>
      </c>
      <c r="C16" s="18">
        <f>(2736.0/B16*100)</f>
        <v/>
      </c>
      <c r="D16" s="19" t="n">
        <v>375</v>
      </c>
      <c r="E16" s="18" t="n">
        <v>26.92997549</v>
      </c>
      <c r="F16" s="20" t="n">
        <v>2.42391782</v>
      </c>
      <c r="G16" s="18" t="n">
        <v>66.78009032999999</v>
      </c>
      <c r="H16" s="20" t="n">
        <v>2.89682516</v>
      </c>
      <c r="I16" s="18" t="s">
        <v>349</v>
      </c>
      <c r="J16" s="20" t="s">
        <v>349</v>
      </c>
      <c r="K16" s="18" t="n">
        <v>0.5478024500000001</v>
      </c>
      <c r="L16" s="20" t="n">
        <v>0.383777</v>
      </c>
      <c r="M16" s="18" t="n">
        <v>0</v>
      </c>
      <c r="N16" s="20" t="n">
        <v>0</v>
      </c>
      <c r="O16" s="18" t="n">
        <v>0</v>
      </c>
      <c r="P16" s="20" t="n">
        <v>0</v>
      </c>
      <c r="Q16" s="18" t="n">
        <v>5.74213173</v>
      </c>
      <c r="R16" s="20" t="n">
        <v>1.30658735</v>
      </c>
    </row>
    <row r="17" spans="1:18">
      <c r="A17" s="15" t="s">
        <v>359</v>
      </c>
      <c r="B17" s="17" t="n">
        <v>3197</v>
      </c>
      <c r="C17" s="18">
        <f>(2793.0/B17*100)</f>
        <v/>
      </c>
      <c r="D17" s="19" t="n">
        <v>404</v>
      </c>
      <c r="E17" s="18" t="n">
        <v>31.77515929</v>
      </c>
      <c r="F17" s="20" t="n">
        <v>2.95611471</v>
      </c>
      <c r="G17" s="18" t="n">
        <v>63.43486209</v>
      </c>
      <c r="H17" s="20" t="n">
        <v>2.96608643</v>
      </c>
      <c r="I17" s="18" t="s">
        <v>349</v>
      </c>
      <c r="J17" s="20" t="s">
        <v>349</v>
      </c>
      <c r="K17" s="18" t="n">
        <v>0.71946482</v>
      </c>
      <c r="L17" s="20" t="n">
        <v>0.41868716</v>
      </c>
      <c r="M17" s="18" t="n">
        <v>0</v>
      </c>
      <c r="N17" s="20" t="n">
        <v>0</v>
      </c>
      <c r="O17" s="18" t="n">
        <v>0</v>
      </c>
      <c r="P17" s="20" t="n">
        <v>0</v>
      </c>
      <c r="Q17" s="18" t="n">
        <v>4.0705138</v>
      </c>
      <c r="R17" s="20" t="n">
        <v>0.92082093</v>
      </c>
    </row>
    <row r="18" spans="1:18">
      <c r="A18" s="15" t="s">
        <v>360</v>
      </c>
      <c r="B18" s="17" t="n">
        <v>2706</v>
      </c>
      <c r="C18" s="18">
        <f>(2393.0/B18*100)</f>
        <v/>
      </c>
      <c r="D18" s="19" t="n">
        <v>313</v>
      </c>
      <c r="E18" s="18" t="n">
        <v>33.01227998</v>
      </c>
      <c r="F18" s="20" t="n">
        <v>2.88322025</v>
      </c>
      <c r="G18" s="18" t="n">
        <v>59.29867421</v>
      </c>
      <c r="H18" s="20" t="n">
        <v>3.22115749</v>
      </c>
      <c r="I18" s="18" t="s">
        <v>349</v>
      </c>
      <c r="J18" s="20" t="s">
        <v>349</v>
      </c>
      <c r="K18" s="18" t="n">
        <v>1.25035662</v>
      </c>
      <c r="L18" s="20" t="n">
        <v>0.93461001</v>
      </c>
      <c r="M18" s="18" t="n">
        <v>0</v>
      </c>
      <c r="N18" s="20" t="n">
        <v>0</v>
      </c>
      <c r="O18" s="18" t="n">
        <v>0</v>
      </c>
      <c r="P18" s="20" t="n">
        <v>0</v>
      </c>
      <c r="Q18" s="18" t="n">
        <v>6.43868919</v>
      </c>
      <c r="R18" s="20" t="n">
        <v>1.89331587</v>
      </c>
    </row>
    <row r="19" spans="1:18">
      <c r="A19" s="15" t="s">
        <v>361</v>
      </c>
      <c r="B19" s="17" t="n">
        <v>2850</v>
      </c>
      <c r="C19" s="18">
        <f>(2511.0/B19*100)</f>
        <v/>
      </c>
      <c r="D19" s="19" t="n">
        <v>339</v>
      </c>
      <c r="E19" s="18" t="n">
        <v>30.39494831</v>
      </c>
      <c r="F19" s="20" t="n">
        <v>2.89885454</v>
      </c>
      <c r="G19" s="18" t="n">
        <v>64.82994438999999</v>
      </c>
      <c r="H19" s="20" t="n">
        <v>3.00446314</v>
      </c>
      <c r="I19" s="18" t="s">
        <v>349</v>
      </c>
      <c r="J19" s="20" t="s">
        <v>349</v>
      </c>
      <c r="K19" s="18" t="n">
        <v>0</v>
      </c>
      <c r="L19" s="20" t="n">
        <v>0</v>
      </c>
      <c r="M19" s="18" t="n">
        <v>0</v>
      </c>
      <c r="N19" s="20" t="n">
        <v>0</v>
      </c>
      <c r="O19" s="18" t="n">
        <v>0</v>
      </c>
      <c r="P19" s="20" t="n">
        <v>0</v>
      </c>
      <c r="Q19" s="18" t="n">
        <v>4.7751073</v>
      </c>
      <c r="R19" s="20" t="n">
        <v>1.12924592</v>
      </c>
    </row>
    <row r="20" spans="1:18">
      <c r="A20" s="15" t="s">
        <v>362</v>
      </c>
      <c r="B20" s="17" t="n">
        <v>1741</v>
      </c>
      <c r="C20" s="18">
        <f>(1523.0/B20*100)</f>
        <v/>
      </c>
      <c r="D20" s="19" t="n">
        <v>218</v>
      </c>
      <c r="E20" s="18" t="n">
        <v>36.91908377</v>
      </c>
      <c r="F20" s="20" t="n">
        <v>3.72788667</v>
      </c>
      <c r="G20" s="18" t="n">
        <v>57.74677912</v>
      </c>
      <c r="H20" s="20" t="n">
        <v>3.91355205</v>
      </c>
      <c r="I20" s="18" t="s">
        <v>349</v>
      </c>
      <c r="J20" s="20" t="s">
        <v>349</v>
      </c>
      <c r="K20" s="18" t="n">
        <v>0.5317137199999999</v>
      </c>
      <c r="L20" s="20" t="n">
        <v>0.52071109</v>
      </c>
      <c r="M20" s="18" t="n">
        <v>0</v>
      </c>
      <c r="N20" s="20" t="n">
        <v>0</v>
      </c>
      <c r="O20" s="18" t="n">
        <v>0</v>
      </c>
      <c r="P20" s="20" t="n">
        <v>0</v>
      </c>
      <c r="Q20" s="18" t="n">
        <v>4.80242339</v>
      </c>
      <c r="R20" s="20" t="n">
        <v>1.47099614</v>
      </c>
    </row>
    <row r="21" spans="1:18">
      <c r="A21" s="15" t="s">
        <v>363</v>
      </c>
      <c r="B21" s="17" t="n">
        <v>2833</v>
      </c>
      <c r="C21" s="18">
        <f>(2380.0/B21*100)</f>
        <v/>
      </c>
      <c r="D21" s="19" t="n">
        <v>453</v>
      </c>
      <c r="E21" s="18" t="n">
        <v>20.66359112</v>
      </c>
      <c r="F21" s="20" t="n">
        <v>1.91653679</v>
      </c>
      <c r="G21" s="18" t="n">
        <v>75.43546302</v>
      </c>
      <c r="H21" s="20" t="n">
        <v>2.12027397</v>
      </c>
      <c r="I21" s="18" t="s">
        <v>349</v>
      </c>
      <c r="J21" s="20" t="s">
        <v>349</v>
      </c>
      <c r="K21" s="18" t="n">
        <v>0.16175137</v>
      </c>
      <c r="L21" s="20" t="n">
        <v>0.16098564</v>
      </c>
      <c r="M21" s="18" t="n">
        <v>0</v>
      </c>
      <c r="N21" s="20" t="n">
        <v>0</v>
      </c>
      <c r="O21" s="18" t="n">
        <v>0</v>
      </c>
      <c r="P21" s="20" t="n">
        <v>0</v>
      </c>
      <c r="Q21" s="18" t="n">
        <v>3.73919449</v>
      </c>
      <c r="R21" s="20" t="n">
        <v>0.86102386</v>
      </c>
    </row>
    <row r="22" spans="1:18">
      <c r="A22" s="15" t="s">
        <v>364</v>
      </c>
      <c r="B22" s="17" t="n">
        <v>3667</v>
      </c>
      <c r="C22" s="18">
        <f>(3187.0/B22*100)</f>
        <v/>
      </c>
      <c r="D22" s="19" t="n">
        <v>480</v>
      </c>
      <c r="E22" s="18" t="n">
        <v>34.85757014</v>
      </c>
      <c r="F22" s="20" t="n">
        <v>2.2301728</v>
      </c>
      <c r="G22" s="18" t="n">
        <v>59.00800575</v>
      </c>
      <c r="H22" s="20" t="n">
        <v>2.47377103</v>
      </c>
      <c r="I22" s="18" t="s">
        <v>349</v>
      </c>
      <c r="J22" s="20" t="s">
        <v>349</v>
      </c>
      <c r="K22" s="18" t="n">
        <v>1.27220812</v>
      </c>
      <c r="L22" s="20" t="n">
        <v>0.41687796</v>
      </c>
      <c r="M22" s="18" t="n">
        <v>0</v>
      </c>
      <c r="N22" s="20" t="n">
        <v>0</v>
      </c>
      <c r="O22" s="18" t="n">
        <v>0</v>
      </c>
      <c r="P22" s="20" t="n">
        <v>0</v>
      </c>
      <c r="Q22" s="18" t="n">
        <v>4.862216</v>
      </c>
      <c r="R22" s="20" t="n">
        <v>0.9807392700000001</v>
      </c>
    </row>
    <row r="23" spans="1:18">
      <c r="A23" s="15" t="s">
        <v>365</v>
      </c>
      <c r="B23" s="17" t="n">
        <v>5792</v>
      </c>
      <c r="C23" s="18">
        <f>(5077.0/B23*100)</f>
        <v/>
      </c>
      <c r="D23" s="19" t="n">
        <v>715</v>
      </c>
      <c r="E23" s="18" t="n">
        <v>21.68627251</v>
      </c>
      <c r="F23" s="20" t="n">
        <v>2.40683573</v>
      </c>
      <c r="G23" s="18" t="n">
        <v>71.29657546999999</v>
      </c>
      <c r="H23" s="20" t="n">
        <v>2.47458869</v>
      </c>
      <c r="I23" s="18" t="s">
        <v>349</v>
      </c>
      <c r="J23" s="20" t="s">
        <v>349</v>
      </c>
      <c r="K23" s="18" t="n">
        <v>0.91481326</v>
      </c>
      <c r="L23" s="20" t="n">
        <v>0.57070336</v>
      </c>
      <c r="M23" s="18" t="n">
        <v>0</v>
      </c>
      <c r="N23" s="20" t="n">
        <v>0</v>
      </c>
      <c r="O23" s="18" t="n">
        <v>0</v>
      </c>
      <c r="P23" s="20" t="n">
        <v>0</v>
      </c>
      <c r="Q23" s="18" t="n">
        <v>6.10233877</v>
      </c>
      <c r="R23" s="20" t="n">
        <v>1.37435942</v>
      </c>
    </row>
    <row r="24" spans="1:18">
      <c r="A24" s="15" t="s">
        <v>366</v>
      </c>
      <c r="B24" s="17" t="n">
        <v>3309</v>
      </c>
      <c r="C24" s="18">
        <f>(2931.0/B24*100)</f>
        <v/>
      </c>
      <c r="D24" s="19" t="n">
        <v>378</v>
      </c>
      <c r="E24" s="18" t="n">
        <v>19.9896791</v>
      </c>
      <c r="F24" s="20" t="n">
        <v>2.21408099</v>
      </c>
      <c r="G24" s="18" t="n">
        <v>76.07548808999999</v>
      </c>
      <c r="H24" s="20" t="n">
        <v>2.25244776</v>
      </c>
      <c r="I24" s="18" t="s">
        <v>349</v>
      </c>
      <c r="J24" s="20" t="s">
        <v>349</v>
      </c>
      <c r="K24" s="18" t="n">
        <v>0.24288763</v>
      </c>
      <c r="L24" s="20" t="n">
        <v>0.24205581</v>
      </c>
      <c r="M24" s="18" t="n">
        <v>0</v>
      </c>
      <c r="N24" s="20" t="n">
        <v>0</v>
      </c>
      <c r="O24" s="18" t="n">
        <v>0</v>
      </c>
      <c r="P24" s="20" t="n">
        <v>0</v>
      </c>
      <c r="Q24" s="18" t="n">
        <v>3.69194518</v>
      </c>
      <c r="R24" s="20" t="n">
        <v>0.89106144</v>
      </c>
    </row>
    <row r="25" spans="1:18">
      <c r="A25" s="15" t="s">
        <v>367</v>
      </c>
      <c r="B25" s="17" t="n">
        <v>2669</v>
      </c>
      <c r="C25" s="18">
        <f>(2361.0/B25*100)</f>
        <v/>
      </c>
      <c r="D25" s="19" t="n">
        <v>308</v>
      </c>
      <c r="E25" s="18" t="n">
        <v>19.50860459</v>
      </c>
      <c r="F25" s="20" t="n">
        <v>1.97559214</v>
      </c>
      <c r="G25" s="18" t="n">
        <v>77.35474744</v>
      </c>
      <c r="H25" s="20" t="n">
        <v>2.42765228</v>
      </c>
      <c r="I25" s="18" t="s">
        <v>349</v>
      </c>
      <c r="J25" s="20" t="s">
        <v>349</v>
      </c>
      <c r="K25" s="18" t="n">
        <v>0</v>
      </c>
      <c r="L25" s="20" t="n">
        <v>0</v>
      </c>
      <c r="M25" s="18" t="n">
        <v>0</v>
      </c>
      <c r="N25" s="20" t="n">
        <v>0</v>
      </c>
      <c r="O25" s="18" t="n">
        <v>0</v>
      </c>
      <c r="P25" s="20" t="n">
        <v>0</v>
      </c>
      <c r="Q25" s="18" t="n">
        <v>3.13664798</v>
      </c>
      <c r="R25" s="20" t="n">
        <v>1.0404005</v>
      </c>
    </row>
    <row r="26" spans="1:18">
      <c r="A26" s="15" t="s">
        <v>368</v>
      </c>
      <c r="B26" s="17" t="n">
        <v>2419</v>
      </c>
      <c r="C26" s="18">
        <f>(2107.0/B26*100)</f>
        <v/>
      </c>
      <c r="D26" s="19" t="n">
        <v>312</v>
      </c>
      <c r="E26" s="18" t="n">
        <v>20.61174416</v>
      </c>
      <c r="F26" s="20" t="n">
        <v>2.4598437</v>
      </c>
      <c r="G26" s="18" t="n">
        <v>77.41714321000001</v>
      </c>
      <c r="H26" s="20" t="n">
        <v>2.45083978</v>
      </c>
      <c r="I26" s="18" t="s">
        <v>349</v>
      </c>
      <c r="J26" s="20" t="s">
        <v>349</v>
      </c>
      <c r="K26" s="18" t="n">
        <v>0.24493617</v>
      </c>
      <c r="L26" s="20" t="n">
        <v>0.2438561</v>
      </c>
      <c r="M26" s="18" t="n">
        <v>0</v>
      </c>
      <c r="N26" s="20" t="n">
        <v>0</v>
      </c>
      <c r="O26" s="18" t="n">
        <v>0</v>
      </c>
      <c r="P26" s="20" t="n">
        <v>0</v>
      </c>
      <c r="Q26" s="18" t="n">
        <v>1.72617646</v>
      </c>
      <c r="R26" s="20" t="n">
        <v>0.60096843</v>
      </c>
    </row>
    <row r="27" spans="1:18">
      <c r="A27" s="15" t="s">
        <v>369</v>
      </c>
      <c r="B27" s="17" t="n">
        <v>2683</v>
      </c>
      <c r="C27" s="18">
        <f>(2356.0/B27*100)</f>
        <v/>
      </c>
      <c r="D27" s="19" t="n">
        <v>327</v>
      </c>
      <c r="E27" s="18" t="n">
        <v>24.94253692</v>
      </c>
      <c r="F27" s="20" t="n">
        <v>2.68593612</v>
      </c>
      <c r="G27" s="18" t="n">
        <v>67.371567</v>
      </c>
      <c r="H27" s="20" t="n">
        <v>2.68102385</v>
      </c>
      <c r="I27" s="18" t="s">
        <v>349</v>
      </c>
      <c r="J27" s="20" t="s">
        <v>349</v>
      </c>
      <c r="K27" s="18" t="n">
        <v>0.31405115</v>
      </c>
      <c r="L27" s="20" t="n">
        <v>0.31592432</v>
      </c>
      <c r="M27" s="18" t="n">
        <v>0</v>
      </c>
      <c r="N27" s="20" t="n">
        <v>0</v>
      </c>
      <c r="O27" s="18" t="n">
        <v>0</v>
      </c>
      <c r="P27" s="20" t="n">
        <v>0</v>
      </c>
      <c r="Q27" s="18" t="n">
        <v>7.37184493</v>
      </c>
      <c r="R27" s="20" t="n">
        <v>1.54453585</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(2375.0/B29*100)</f>
        <v/>
      </c>
      <c r="D29" s="19" t="n">
        <v>325</v>
      </c>
      <c r="E29" s="18" t="n">
        <v>32.88727022</v>
      </c>
      <c r="F29" s="20" t="n">
        <v>2.76217923</v>
      </c>
      <c r="G29" s="18" t="n">
        <v>61.79269462</v>
      </c>
      <c r="H29" s="20" t="n">
        <v>2.94741865</v>
      </c>
      <c r="I29" s="18" t="s">
        <v>349</v>
      </c>
      <c r="J29" s="20" t="s">
        <v>349</v>
      </c>
      <c r="K29" s="18" t="n">
        <v>0.91563591</v>
      </c>
      <c r="L29" s="20" t="n">
        <v>0.51256934</v>
      </c>
      <c r="M29" s="18" t="n">
        <v>0</v>
      </c>
      <c r="N29" s="20" t="n">
        <v>0</v>
      </c>
      <c r="O29" s="18" t="n">
        <v>0</v>
      </c>
      <c r="P29" s="20" t="n">
        <v>0</v>
      </c>
      <c r="Q29" s="18" t="n">
        <v>4.40439925</v>
      </c>
      <c r="R29" s="20" t="n">
        <v>1.39995179</v>
      </c>
    </row>
    <row r="30" spans="1:18">
      <c r="A30" s="15" t="s">
        <v>372</v>
      </c>
      <c r="B30" s="17" t="n">
        <v>2257</v>
      </c>
      <c r="C30" s="18">
        <f>(1976.0/B30*100)</f>
        <v/>
      </c>
      <c r="D30" s="19" t="n">
        <v>281</v>
      </c>
      <c r="E30" s="18" t="n">
        <v>29.03308133</v>
      </c>
      <c r="F30" s="20" t="n">
        <v>3.21314617</v>
      </c>
      <c r="G30" s="18" t="n">
        <v>64.04008774</v>
      </c>
      <c r="H30" s="20" t="n">
        <v>3.38129607</v>
      </c>
      <c r="I30" s="18" t="s">
        <v>349</v>
      </c>
      <c r="J30" s="20" t="s">
        <v>349</v>
      </c>
      <c r="K30" s="18" t="n">
        <v>0.31671292</v>
      </c>
      <c r="L30" s="20" t="n">
        <v>0.31978741</v>
      </c>
      <c r="M30" s="18" t="n">
        <v>0</v>
      </c>
      <c r="N30" s="20" t="n">
        <v>0</v>
      </c>
      <c r="O30" s="18" t="n">
        <v>0</v>
      </c>
      <c r="P30" s="20" t="n">
        <v>0</v>
      </c>
      <c r="Q30" s="18" t="n">
        <v>6.610118</v>
      </c>
      <c r="R30" s="20" t="n">
        <v>1.52979636</v>
      </c>
    </row>
    <row r="31" spans="1:18">
      <c r="A31" s="15" t="s">
        <v>373</v>
      </c>
      <c r="B31" s="17" t="n">
        <v>2706</v>
      </c>
      <c r="C31" s="18">
        <f>(2360.0/B31*100)</f>
        <v/>
      </c>
      <c r="D31" s="19" t="n">
        <v>346</v>
      </c>
      <c r="E31" s="18" t="n">
        <v>30.70668919</v>
      </c>
      <c r="F31" s="20" t="n">
        <v>2.75658934</v>
      </c>
      <c r="G31" s="18" t="n">
        <v>62.11416653</v>
      </c>
      <c r="H31" s="20" t="n">
        <v>2.7339392</v>
      </c>
      <c r="I31" s="18" t="s">
        <v>349</v>
      </c>
      <c r="J31" s="20" t="s">
        <v>349</v>
      </c>
      <c r="K31" s="18" t="n">
        <v>0.88426767</v>
      </c>
      <c r="L31" s="20" t="n">
        <v>0.51235067</v>
      </c>
      <c r="M31" s="18" t="n">
        <v>0</v>
      </c>
      <c r="N31" s="20" t="n">
        <v>0</v>
      </c>
      <c r="O31" s="18" t="n">
        <v>0</v>
      </c>
      <c r="P31" s="20" t="n">
        <v>0</v>
      </c>
      <c r="Q31" s="18" t="n">
        <v>6.29487661</v>
      </c>
      <c r="R31" s="20" t="n">
        <v>1.3706083</v>
      </c>
    </row>
    <row r="32" spans="1:18">
      <c r="A32" s="15" t="s">
        <v>374</v>
      </c>
      <c r="B32" s="17" t="n">
        <v>2209</v>
      </c>
      <c r="C32" s="18">
        <f>(1833.0/B32*100)</f>
        <v/>
      </c>
      <c r="D32" s="19" t="n">
        <v>376</v>
      </c>
      <c r="E32" s="18" t="n">
        <v>24.34750239</v>
      </c>
      <c r="F32" s="20" t="n">
        <v>2.61579986</v>
      </c>
      <c r="G32" s="18" t="n">
        <v>71.22092225</v>
      </c>
      <c r="H32" s="20" t="n">
        <v>2.81060723</v>
      </c>
      <c r="I32" s="18" t="s">
        <v>349</v>
      </c>
      <c r="J32" s="20" t="s">
        <v>349</v>
      </c>
      <c r="K32" s="18" t="n">
        <v>0.5594409</v>
      </c>
      <c r="L32" s="20" t="n">
        <v>0.38978815</v>
      </c>
      <c r="M32" s="18" t="n">
        <v>0</v>
      </c>
      <c r="N32" s="20" t="n">
        <v>0</v>
      </c>
      <c r="O32" s="18" t="n">
        <v>0</v>
      </c>
      <c r="P32" s="20" t="n">
        <v>0</v>
      </c>
      <c r="Q32" s="18" t="n">
        <v>3.87213446</v>
      </c>
      <c r="R32" s="20" t="n">
        <v>1.03380385</v>
      </c>
    </row>
    <row r="33" spans="1:18">
      <c r="A33" s="15" t="s">
        <v>375</v>
      </c>
      <c r="B33" s="17" t="n">
        <v>3651</v>
      </c>
      <c r="C33" s="18">
        <f>(3203.0/B33*100)</f>
        <v/>
      </c>
      <c r="D33" s="19" t="n">
        <v>448</v>
      </c>
      <c r="E33" s="18" t="n">
        <v>23.97984989</v>
      </c>
      <c r="F33" s="20" t="n">
        <v>2.15856291</v>
      </c>
      <c r="G33" s="18" t="n">
        <v>67.83852333</v>
      </c>
      <c r="H33" s="20" t="n">
        <v>2.60115396</v>
      </c>
      <c r="I33" s="18" t="s">
        <v>349</v>
      </c>
      <c r="J33" s="20" t="s">
        <v>349</v>
      </c>
      <c r="K33" s="18" t="n">
        <v>0.5185039299999999</v>
      </c>
      <c r="L33" s="20" t="n">
        <v>0.46192286</v>
      </c>
      <c r="M33" s="18" t="n">
        <v>0</v>
      </c>
      <c r="N33" s="20" t="n">
        <v>0</v>
      </c>
      <c r="O33" s="18" t="n">
        <v>0</v>
      </c>
      <c r="P33" s="20" t="n">
        <v>0</v>
      </c>
      <c r="Q33" s="18" t="n">
        <v>7.66312285</v>
      </c>
      <c r="R33" s="20" t="n">
        <v>1.47199573</v>
      </c>
    </row>
    <row r="34" spans="1:18">
      <c r="A34" s="15" t="s">
        <v>376</v>
      </c>
      <c r="B34" s="17" t="n">
        <v>3035</v>
      </c>
      <c r="C34" s="18">
        <f>(2644.0/B34*100)</f>
        <v/>
      </c>
      <c r="D34" s="19" t="n">
        <v>391</v>
      </c>
      <c r="E34" s="18" t="n">
        <v>24.36765829</v>
      </c>
      <c r="F34" s="20" t="n">
        <v>2.38053745</v>
      </c>
      <c r="G34" s="18" t="n">
        <v>72.82336339</v>
      </c>
      <c r="H34" s="20" t="n">
        <v>2.32902753</v>
      </c>
      <c r="I34" s="18" t="s">
        <v>349</v>
      </c>
      <c r="J34" s="20" t="s">
        <v>349</v>
      </c>
      <c r="K34" s="18" t="n">
        <v>0.22087665</v>
      </c>
      <c r="L34" s="20" t="n">
        <v>0.23039901</v>
      </c>
      <c r="M34" s="18" t="n">
        <v>0</v>
      </c>
      <c r="N34" s="20" t="n">
        <v>0</v>
      </c>
      <c r="O34" s="18" t="n">
        <v>0</v>
      </c>
      <c r="P34" s="20" t="n">
        <v>0</v>
      </c>
      <c r="Q34" s="18" t="n">
        <v>2.58810167</v>
      </c>
      <c r="R34" s="20" t="n">
        <v>0.81367469</v>
      </c>
    </row>
    <row r="35" spans="1:18">
      <c r="A35" s="15" t="s">
        <v>377</v>
      </c>
      <c r="B35" s="17" t="n">
        <v>2901</v>
      </c>
      <c r="C35" s="18">
        <f>(2533.0/B35*100)</f>
        <v/>
      </c>
      <c r="D35" s="19" t="n">
        <v>368</v>
      </c>
      <c r="E35" s="18" t="n">
        <v>18.07160001</v>
      </c>
      <c r="F35" s="20" t="n">
        <v>2.55272331</v>
      </c>
      <c r="G35" s="18" t="n">
        <v>79.44441073</v>
      </c>
      <c r="H35" s="20" t="n">
        <v>2.73276993</v>
      </c>
      <c r="I35" s="18" t="s">
        <v>349</v>
      </c>
      <c r="J35" s="20" t="s">
        <v>349</v>
      </c>
      <c r="K35" s="18" t="n">
        <v>0</v>
      </c>
      <c r="L35" s="20" t="n">
        <v>0</v>
      </c>
      <c r="M35" s="18" t="n">
        <v>0</v>
      </c>
      <c r="N35" s="20" t="n">
        <v>0</v>
      </c>
      <c r="O35" s="18" t="n">
        <v>0</v>
      </c>
      <c r="P35" s="20" t="n">
        <v>0</v>
      </c>
      <c r="Q35" s="18" t="n">
        <v>2.48398926</v>
      </c>
      <c r="R35" s="20" t="n">
        <v>0.65151954</v>
      </c>
    </row>
    <row r="36" spans="1:18">
      <c r="A36" s="15" t="s">
        <v>378</v>
      </c>
      <c r="B36" s="17" t="n">
        <v>3404</v>
      </c>
      <c r="C36" s="18">
        <f>(2990.0/B36*100)</f>
        <v/>
      </c>
      <c r="D36" s="19" t="n">
        <v>414</v>
      </c>
      <c r="E36" s="18" t="n">
        <v>25.54544597</v>
      </c>
      <c r="F36" s="20" t="n">
        <v>2.42189985</v>
      </c>
      <c r="G36" s="18" t="n">
        <v>69.21832116</v>
      </c>
      <c r="H36" s="20" t="n">
        <v>2.64725474</v>
      </c>
      <c r="I36" s="18" t="s">
        <v>349</v>
      </c>
      <c r="J36" s="20" t="s">
        <v>349</v>
      </c>
      <c r="K36" s="18" t="n">
        <v>0.61741686</v>
      </c>
      <c r="L36" s="20" t="n">
        <v>0.43957324</v>
      </c>
      <c r="M36" s="18" t="n">
        <v>0</v>
      </c>
      <c r="N36" s="20" t="n">
        <v>0</v>
      </c>
      <c r="O36" s="18" t="n">
        <v>0</v>
      </c>
      <c r="P36" s="20" t="n">
        <v>0</v>
      </c>
      <c r="Q36" s="18" t="n">
        <v>4.61881601</v>
      </c>
      <c r="R36" s="20" t="n">
        <v>1.10581263</v>
      </c>
    </row>
    <row r="37" spans="1:18">
      <c r="A37" s="15" t="s">
        <v>379</v>
      </c>
      <c r="B37" s="17" t="n">
        <v>2731</v>
      </c>
      <c r="C37" s="18">
        <f>(2398.0/B37*100)</f>
        <v/>
      </c>
      <c r="D37" s="19" t="n">
        <v>333</v>
      </c>
      <c r="E37" s="18" t="n">
        <v>30.62901092</v>
      </c>
      <c r="F37" s="20" t="n">
        <v>2.51710031</v>
      </c>
      <c r="G37" s="18" t="n">
        <v>54.41263338</v>
      </c>
      <c r="H37" s="20" t="n">
        <v>2.97248453</v>
      </c>
      <c r="I37" s="18" t="s">
        <v>349</v>
      </c>
      <c r="J37" s="20" t="s">
        <v>349</v>
      </c>
      <c r="K37" s="18" t="n">
        <v>1.89465964</v>
      </c>
      <c r="L37" s="20" t="n">
        <v>0.73025653</v>
      </c>
      <c r="M37" s="18" t="n">
        <v>0</v>
      </c>
      <c r="N37" s="20" t="n">
        <v>0</v>
      </c>
      <c r="O37" s="18" t="n">
        <v>0</v>
      </c>
      <c r="P37" s="20" t="n">
        <v>0</v>
      </c>
      <c r="Q37" s="18" t="n">
        <v>13.06369606</v>
      </c>
      <c r="R37" s="20" t="n">
        <v>1.96449434</v>
      </c>
    </row>
    <row r="38" spans="1:18">
      <c r="A38" s="15" t="s">
        <v>380</v>
      </c>
      <c r="B38" s="17" t="n">
        <v>2807</v>
      </c>
      <c r="C38" s="18">
        <f>(2356.0/B38*100)</f>
        <v/>
      </c>
      <c r="D38" s="19" t="n">
        <v>451</v>
      </c>
      <c r="E38" s="18" t="n">
        <v>24.81205418</v>
      </c>
      <c r="F38" s="20" t="n">
        <v>2.13020206</v>
      </c>
      <c r="G38" s="18" t="n">
        <v>69.8700159</v>
      </c>
      <c r="H38" s="20" t="n">
        <v>2.02261877</v>
      </c>
      <c r="I38" s="18" t="s">
        <v>349</v>
      </c>
      <c r="J38" s="20" t="s">
        <v>349</v>
      </c>
      <c r="K38" s="18" t="n">
        <v>0.23809424</v>
      </c>
      <c r="L38" s="20" t="n">
        <v>0.21069945</v>
      </c>
      <c r="M38" s="18" t="n">
        <v>0</v>
      </c>
      <c r="N38" s="20" t="n">
        <v>0</v>
      </c>
      <c r="O38" s="18" t="n">
        <v>0</v>
      </c>
      <c r="P38" s="20" t="n">
        <v>0</v>
      </c>
      <c r="Q38" s="18" t="n">
        <v>5.07983568</v>
      </c>
      <c r="R38" s="20" t="n">
        <v>1.37631334</v>
      </c>
    </row>
    <row r="39" spans="1:18">
      <c r="A39" s="15" t="s">
        <v>381</v>
      </c>
      <c r="B39" s="17" t="n">
        <v>2938</v>
      </c>
      <c r="C39" s="18">
        <f>(2566.0/B39*100)</f>
        <v/>
      </c>
      <c r="D39" s="19" t="n">
        <v>372</v>
      </c>
      <c r="E39" s="18" t="n">
        <v>49.83460031</v>
      </c>
      <c r="F39" s="20" t="n">
        <v>2.90266229</v>
      </c>
      <c r="G39" s="18" t="n">
        <v>45.11220048</v>
      </c>
      <c r="H39" s="20" t="n">
        <v>2.71412847</v>
      </c>
      <c r="I39" s="18" t="s">
        <v>349</v>
      </c>
      <c r="J39" s="20" t="s">
        <v>349</v>
      </c>
      <c r="K39" s="18" t="n">
        <v>0</v>
      </c>
      <c r="L39" s="20" t="n">
        <v>0</v>
      </c>
      <c r="M39" s="18" t="n">
        <v>0</v>
      </c>
      <c r="N39" s="20" t="n">
        <v>0</v>
      </c>
      <c r="O39" s="18" t="n">
        <v>0</v>
      </c>
      <c r="P39" s="20" t="n">
        <v>0</v>
      </c>
      <c r="Q39" s="18" t="n">
        <v>5.05319921</v>
      </c>
      <c r="R39" s="20" t="n">
        <v>0.94053304</v>
      </c>
    </row>
    <row r="40" spans="1:18">
      <c r="A40" s="15" t="s">
        <v>382</v>
      </c>
      <c r="B40" s="17" t="n">
        <v>6922</v>
      </c>
      <c r="C40" s="18">
        <f>(6015.0/B40*100)</f>
        <v/>
      </c>
      <c r="D40" s="19" t="n">
        <v>907</v>
      </c>
      <c r="E40" s="18" t="n">
        <v>26.82891512</v>
      </c>
      <c r="F40" s="20" t="n">
        <v>2.18496254</v>
      </c>
      <c r="G40" s="18" t="n">
        <v>67.54723659</v>
      </c>
      <c r="H40" s="20" t="n">
        <v>2.23634926</v>
      </c>
      <c r="I40" s="18" t="s">
        <v>349</v>
      </c>
      <c r="J40" s="20" t="s">
        <v>349</v>
      </c>
      <c r="K40" s="18" t="n">
        <v>0.84957697</v>
      </c>
      <c r="L40" s="20" t="n">
        <v>0.49086674</v>
      </c>
      <c r="M40" s="18" t="n">
        <v>0</v>
      </c>
      <c r="N40" s="20" t="n">
        <v>0</v>
      </c>
      <c r="O40" s="18" t="n">
        <v>0</v>
      </c>
      <c r="P40" s="20" t="n">
        <v>0</v>
      </c>
      <c r="Q40" s="18" t="n">
        <v>4.77427132</v>
      </c>
      <c r="R40" s="20" t="n">
        <v>1.15201803</v>
      </c>
    </row>
    <row r="41" spans="1:18">
      <c r="A41" s="15" t="s">
        <v>383</v>
      </c>
      <c r="B41" s="17" t="n">
        <v>2854</v>
      </c>
      <c r="C41" s="18">
        <f>(2493.0/B41*100)</f>
        <v/>
      </c>
      <c r="D41" s="19" t="n">
        <v>361</v>
      </c>
      <c r="E41" s="18" t="n">
        <v>25.05419974</v>
      </c>
      <c r="F41" s="20" t="n">
        <v>2.76545566</v>
      </c>
      <c r="G41" s="18" t="n">
        <v>73.85343772</v>
      </c>
      <c r="H41" s="20" t="n">
        <v>2.90930905</v>
      </c>
      <c r="I41" s="18" t="s">
        <v>349</v>
      </c>
      <c r="J41" s="20" t="s">
        <v>349</v>
      </c>
      <c r="K41" s="18" t="n">
        <v>0</v>
      </c>
      <c r="L41" s="20" t="n">
        <v>0</v>
      </c>
      <c r="M41" s="18" t="n">
        <v>0</v>
      </c>
      <c r="N41" s="20" t="n">
        <v>0</v>
      </c>
      <c r="O41" s="18" t="n">
        <v>0</v>
      </c>
      <c r="P41" s="20" t="n">
        <v>0</v>
      </c>
      <c r="Q41" s="18" t="n">
        <v>1.09236254</v>
      </c>
      <c r="R41" s="20" t="n">
        <v>0.57584885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(4111.0/B48*100)</f>
        <v/>
      </c>
      <c r="D48" s="19" t="n">
        <v>571</v>
      </c>
      <c r="E48" s="18" t="n">
        <v>22.50214292</v>
      </c>
      <c r="F48" s="20" t="n">
        <v>2.44776864</v>
      </c>
      <c r="G48" s="18" t="n">
        <v>76.36671163</v>
      </c>
      <c r="H48" s="20" t="n">
        <v>2.49955935</v>
      </c>
      <c r="I48" s="18" t="s">
        <v>349</v>
      </c>
      <c r="J48" s="20" t="s">
        <v>349</v>
      </c>
      <c r="K48" s="18" t="n">
        <v>0.38558326</v>
      </c>
      <c r="L48" s="20" t="n">
        <v>0.32939636</v>
      </c>
      <c r="M48" s="18" t="n">
        <v>0</v>
      </c>
      <c r="N48" s="20" t="n">
        <v>0</v>
      </c>
      <c r="O48" s="18" t="n">
        <v>0</v>
      </c>
      <c r="P48" s="20" t="n">
        <v>0</v>
      </c>
      <c r="Q48" s="18" t="n">
        <v>0.74556219</v>
      </c>
      <c r="R48" s="20" t="n">
        <v>0.42005658</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(2623.0/B52*100)</f>
        <v/>
      </c>
      <c r="D52" s="19" t="n">
        <v>390</v>
      </c>
      <c r="E52" s="18" t="n">
        <v>21.52924783</v>
      </c>
      <c r="F52" s="20" t="n">
        <v>2.33036606</v>
      </c>
      <c r="G52" s="18" t="n">
        <v>70.49211744</v>
      </c>
      <c r="H52" s="20" t="n">
        <v>2.21076862</v>
      </c>
      <c r="I52" s="18" t="s">
        <v>349</v>
      </c>
      <c r="J52" s="20" t="s">
        <v>349</v>
      </c>
      <c r="K52" s="18" t="n">
        <v>1.14795091</v>
      </c>
      <c r="L52" s="20" t="n">
        <v>0.35912644</v>
      </c>
      <c r="M52" s="18" t="n">
        <v>0</v>
      </c>
      <c r="N52" s="20" t="n">
        <v>0</v>
      </c>
      <c r="O52" s="18" t="n">
        <v>0</v>
      </c>
      <c r="P52" s="20" t="n">
        <v>0</v>
      </c>
      <c r="Q52" s="18" t="n">
        <v>6.83068382</v>
      </c>
      <c r="R52" s="20" t="n">
        <v>1.16935288</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15.03881412</v>
      </c>
      <c r="F56" s="20" t="n">
        <v>2.25752045</v>
      </c>
      <c r="G56" s="18" t="n">
        <v>84.12027845999999</v>
      </c>
      <c r="H56" s="20" t="n">
        <v>2.27552083</v>
      </c>
      <c r="I56" s="18" t="s">
        <v>349</v>
      </c>
      <c r="J56" s="20" t="s">
        <v>349</v>
      </c>
      <c r="K56" s="18" t="n">
        <v>0</v>
      </c>
      <c r="L56" s="20" t="n">
        <v>0</v>
      </c>
      <c r="M56" s="18" t="n">
        <v>0</v>
      </c>
      <c r="N56" s="20" t="n">
        <v>0</v>
      </c>
      <c r="O56" s="18" t="n">
        <v>0</v>
      </c>
      <c r="P56" s="20" t="n">
        <v>0</v>
      </c>
      <c r="Q56" s="18" t="n">
        <v>0.84090742</v>
      </c>
      <c r="R56" s="20" t="n">
        <v>0.5222191</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(2821.0/B61*100)</f>
        <v/>
      </c>
      <c r="D61" s="19" t="n">
        <v>380</v>
      </c>
      <c r="E61" s="18" t="n">
        <v>24.4809531</v>
      </c>
      <c r="F61" s="20" t="n">
        <v>2.62381746</v>
      </c>
      <c r="G61" s="18" t="n">
        <v>70.71615479</v>
      </c>
      <c r="H61" s="20" t="n">
        <v>2.6117354</v>
      </c>
      <c r="I61" s="18" t="s">
        <v>349</v>
      </c>
      <c r="J61" s="20" t="s">
        <v>349</v>
      </c>
      <c r="K61" s="18" t="n">
        <v>0.33846042</v>
      </c>
      <c r="L61" s="20" t="n">
        <v>0.26502496</v>
      </c>
      <c r="M61" s="18" t="n">
        <v>0</v>
      </c>
      <c r="N61" s="20" t="n">
        <v>0</v>
      </c>
      <c r="O61" s="18" t="n">
        <v>0</v>
      </c>
      <c r="P61" s="20" t="n">
        <v>0</v>
      </c>
      <c r="Q61" s="18" t="n">
        <v>4.46443168</v>
      </c>
      <c r="R61" s="20" t="n">
        <v>1.07810787</v>
      </c>
    </row>
    <row r="62" spans="1:18">
      <c r="A62" s="15" t="s">
        <v>404</v>
      </c>
      <c r="B62" s="17" t="n">
        <v>2230</v>
      </c>
      <c r="C62" s="18">
        <f>(1949.0/B62*100)</f>
        <v/>
      </c>
      <c r="D62" s="19" t="n">
        <v>281</v>
      </c>
      <c r="E62" s="18" t="n">
        <v>12.46044659</v>
      </c>
      <c r="F62" s="20" t="n">
        <v>1.9376898</v>
      </c>
      <c r="G62" s="18" t="n">
        <v>87.1862047</v>
      </c>
      <c r="H62" s="20" t="n">
        <v>2.02352757</v>
      </c>
      <c r="I62" s="18" t="s">
        <v>349</v>
      </c>
      <c r="J62" s="20" t="s">
        <v>349</v>
      </c>
      <c r="K62" s="18" t="n">
        <v>0</v>
      </c>
      <c r="L62" s="20" t="n">
        <v>0</v>
      </c>
      <c r="M62" s="18" t="n">
        <v>0</v>
      </c>
      <c r="N62" s="20" t="n">
        <v>0</v>
      </c>
      <c r="O62" s="18" t="n">
        <v>0</v>
      </c>
      <c r="P62" s="20" t="n">
        <v>0</v>
      </c>
      <c r="Q62" s="18" t="n">
        <v>0.35334871</v>
      </c>
      <c r="R62" s="20" t="n">
        <v>0.35157112</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(2443.0/B66*100)</f>
        <v/>
      </c>
      <c r="D66" s="19" t="n">
        <v>328</v>
      </c>
      <c r="E66" s="18" t="n">
        <v>27.62140022</v>
      </c>
      <c r="F66" s="20" t="n">
        <v>2.42390751</v>
      </c>
      <c r="G66" s="18" t="n">
        <v>61.54607984</v>
      </c>
      <c r="H66" s="20" t="n">
        <v>2.88040275</v>
      </c>
      <c r="I66" s="18" t="s">
        <v>349</v>
      </c>
      <c r="J66" s="20" t="s">
        <v>349</v>
      </c>
      <c r="K66" s="18" t="n">
        <v>1.23176875</v>
      </c>
      <c r="L66" s="20" t="n">
        <v>0.6229832199999999</v>
      </c>
      <c r="M66" s="18" t="n">
        <v>0</v>
      </c>
      <c r="N66" s="20" t="n">
        <v>0</v>
      </c>
      <c r="O66" s="18" t="n">
        <v>0</v>
      </c>
      <c r="P66" s="20" t="n">
        <v>0</v>
      </c>
      <c r="Q66" s="18" t="n">
        <v>9.60075119</v>
      </c>
      <c r="R66" s="20" t="n">
        <v>1.74027568</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(5032.0/B68*100)</f>
        <v/>
      </c>
      <c r="D68" s="19" t="n">
        <v>1002</v>
      </c>
      <c r="E68" s="18" t="n">
        <v>49.37538342</v>
      </c>
      <c r="F68" s="20" t="n">
        <v>1.71499034</v>
      </c>
      <c r="G68" s="18" t="n">
        <v>44.966854</v>
      </c>
      <c r="H68" s="20" t="n">
        <v>1.72004708</v>
      </c>
      <c r="I68" s="18" t="s">
        <v>349</v>
      </c>
      <c r="J68" s="20" t="s">
        <v>349</v>
      </c>
      <c r="K68" s="18" t="n">
        <v>0.77915122</v>
      </c>
      <c r="L68" s="20" t="n">
        <v>0.31041822</v>
      </c>
      <c r="M68" s="18" t="n">
        <v>0</v>
      </c>
      <c r="N68" s="20" t="n">
        <v>0</v>
      </c>
      <c r="O68" s="18" t="n">
        <v>0</v>
      </c>
      <c r="P68" s="20" t="n">
        <v>0</v>
      </c>
      <c r="Q68" s="18" t="n">
        <v>4.87861136</v>
      </c>
      <c r="R68" s="20" t="n">
        <v>0.68477608</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(2706.0/B70*100)</f>
        <v/>
      </c>
      <c r="D70" s="19" t="n">
        <v>401</v>
      </c>
      <c r="E70" s="18" t="n">
        <v>19.99734811</v>
      </c>
      <c r="F70" s="20" t="n">
        <v>2.29923793</v>
      </c>
      <c r="G70" s="18" t="n">
        <v>77.51281466</v>
      </c>
      <c r="H70" s="20" t="n">
        <v>2.61363378</v>
      </c>
      <c r="I70" s="18" t="s">
        <v>349</v>
      </c>
      <c r="J70" s="20" t="s">
        <v>349</v>
      </c>
      <c r="K70" s="18" t="n">
        <v>0.26732241</v>
      </c>
      <c r="L70" s="20" t="n">
        <v>0.26433452</v>
      </c>
      <c r="M70" s="18" t="n">
        <v>0</v>
      </c>
      <c r="N70" s="20" t="n">
        <v>0</v>
      </c>
      <c r="O70" s="18" t="n">
        <v>0</v>
      </c>
      <c r="P70" s="20" t="n">
        <v>0</v>
      </c>
      <c r="Q70" s="18" t="n">
        <v>2.22251482</v>
      </c>
      <c r="R70" s="20" t="n">
        <v>0.7898236</v>
      </c>
    </row>
    <row r="71" spans="1:18">
      <c r="A71" s="15" t="s">
        <v>413</v>
      </c>
      <c r="B71" s="17" t="n">
        <v>2973</v>
      </c>
      <c r="C71" s="18">
        <f>(2599.0/B71*100)</f>
        <v/>
      </c>
      <c r="D71" s="19" t="n">
        <v>374</v>
      </c>
      <c r="E71" s="18" t="n">
        <v>10.81215044</v>
      </c>
      <c r="F71" s="20" t="n">
        <v>1.39501131</v>
      </c>
      <c r="G71" s="18" t="n">
        <v>88.6849242</v>
      </c>
      <c r="H71" s="20" t="n">
        <v>1.46771481</v>
      </c>
      <c r="I71" s="18" t="s">
        <v>349</v>
      </c>
      <c r="J71" s="20" t="s">
        <v>349</v>
      </c>
      <c r="K71" s="18" t="n">
        <v>0</v>
      </c>
      <c r="L71" s="20" t="n">
        <v>0</v>
      </c>
      <c r="M71" s="18" t="n">
        <v>0</v>
      </c>
      <c r="N71" s="20" t="n">
        <v>0</v>
      </c>
      <c r="O71" s="18" t="n">
        <v>0</v>
      </c>
      <c r="P71" s="20" t="n">
        <v>0</v>
      </c>
      <c r="Q71" s="18" t="n">
        <v>0.50292536</v>
      </c>
      <c r="R71" s="20" t="n">
        <v>0.36459217</v>
      </c>
    </row>
    <row r="72" spans="1:18">
      <c r="A72" s="15" t="s">
        <v>414</v>
      </c>
      <c r="B72" s="17" t="n">
        <v>3819</v>
      </c>
      <c r="C72" s="18">
        <f>(3341.0/B72*100)</f>
        <v/>
      </c>
      <c r="D72" s="19" t="n">
        <v>478</v>
      </c>
      <c r="E72" s="18" t="n">
        <v>17.53608436</v>
      </c>
      <c r="F72" s="20" t="n">
        <v>1.79001602</v>
      </c>
      <c r="G72" s="18" t="n">
        <v>80.10147265000001</v>
      </c>
      <c r="H72" s="20" t="n">
        <v>1.97083648</v>
      </c>
      <c r="I72" s="18" t="s">
        <v>349</v>
      </c>
      <c r="J72" s="20" t="s">
        <v>349</v>
      </c>
      <c r="K72" s="18" t="n">
        <v>0</v>
      </c>
      <c r="L72" s="20" t="n">
        <v>0</v>
      </c>
      <c r="M72" s="18" t="n">
        <v>0</v>
      </c>
      <c r="N72" s="20" t="n">
        <v>0</v>
      </c>
      <c r="O72" s="18" t="n">
        <v>0</v>
      </c>
      <c r="P72" s="20" t="n">
        <v>0</v>
      </c>
      <c r="Q72" s="18" t="n">
        <v>2.36244299</v>
      </c>
      <c r="R72" s="20" t="n">
        <v>0.70196092</v>
      </c>
    </row>
    <row r="73" spans="1:18">
      <c r="A73" s="15" t="s">
        <v>415</v>
      </c>
      <c r="B73" s="17" t="n">
        <v>4652</v>
      </c>
      <c r="C73" s="18">
        <f>(4095.0/B73*100)</f>
        <v/>
      </c>
      <c r="D73" s="19" t="n">
        <v>557</v>
      </c>
      <c r="E73" s="18" t="n">
        <v>58.21730406</v>
      </c>
      <c r="F73" s="20" t="n">
        <v>2.14185884</v>
      </c>
      <c r="G73" s="18" t="n">
        <v>40.86224203</v>
      </c>
      <c r="H73" s="20" t="n">
        <v>2.17812364</v>
      </c>
      <c r="I73" s="18" t="s">
        <v>349</v>
      </c>
      <c r="J73" s="20" t="s">
        <v>349</v>
      </c>
      <c r="K73" s="18" t="n">
        <v>0</v>
      </c>
      <c r="L73" s="20" t="n">
        <v>0</v>
      </c>
      <c r="M73" s="18" t="n">
        <v>0</v>
      </c>
      <c r="N73" s="20" t="n">
        <v>0</v>
      </c>
      <c r="O73" s="18" t="n">
        <v>0</v>
      </c>
      <c r="P73" s="20" t="n">
        <v>0</v>
      </c>
      <c r="Q73" s="18" t="n">
        <v>0.92045391</v>
      </c>
      <c r="R73" s="20" t="n">
        <v>0.4777497</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(4102.0/B81*100)</f>
        <v/>
      </c>
      <c r="D81" s="19" t="n">
        <v>596</v>
      </c>
      <c r="E81" s="18" t="n">
        <v>49.94780157</v>
      </c>
      <c r="F81" s="20" t="n">
        <v>2.72602304</v>
      </c>
      <c r="G81" s="18" t="n">
        <v>49.28552682</v>
      </c>
      <c r="H81" s="20" t="n">
        <v>2.69450813</v>
      </c>
      <c r="I81" s="18" t="s">
        <v>349</v>
      </c>
      <c r="J81" s="20" t="s">
        <v>349</v>
      </c>
      <c r="K81" s="18" t="n">
        <v>0</v>
      </c>
      <c r="L81" s="20" t="n">
        <v>0</v>
      </c>
      <c r="M81" s="18" t="n">
        <v>0</v>
      </c>
      <c r="N81" s="20" t="n">
        <v>0</v>
      </c>
      <c r="O81" s="18" t="n">
        <v>0</v>
      </c>
      <c r="P81" s="20" t="n">
        <v>0</v>
      </c>
      <c r="Q81" s="18" t="n">
        <v>0.7666716099999999</v>
      </c>
      <c r="R81" s="20" t="n">
        <v>0.43776421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(6290.0/B7*100)</f>
        <v/>
      </c>
      <c r="D7" s="19" t="n">
        <v>873</v>
      </c>
      <c r="E7" s="18" t="n">
        <v>56.1886875</v>
      </c>
      <c r="F7" s="20" t="n">
        <v>2.22893713</v>
      </c>
      <c r="G7" s="18" t="n">
        <v>31.88266187</v>
      </c>
      <c r="H7" s="20" t="n">
        <v>1.94491778</v>
      </c>
      <c r="I7" s="18" t="s">
        <v>349</v>
      </c>
      <c r="J7" s="20" t="s">
        <v>349</v>
      </c>
      <c r="K7" s="18" t="n">
        <v>0.27997322</v>
      </c>
      <c r="L7" s="20" t="n">
        <v>0.09113275999999999</v>
      </c>
      <c r="M7" s="18" t="n">
        <v>0.0117999</v>
      </c>
      <c r="N7" s="20" t="n">
        <v>0.01199735</v>
      </c>
      <c r="O7" s="18" t="n">
        <v>0</v>
      </c>
      <c r="P7" s="20" t="n">
        <v>0</v>
      </c>
      <c r="Q7" s="18" t="n">
        <v>11.63687751</v>
      </c>
      <c r="R7" s="20" t="n">
        <v>1.19964419</v>
      </c>
    </row>
    <row r="8" spans="1:18">
      <c r="A8" s="15" t="s">
        <v>350</v>
      </c>
      <c r="B8" s="17" t="n">
        <v>3443</v>
      </c>
      <c r="C8" s="18">
        <f>(3012.0/B8*100)</f>
        <v/>
      </c>
      <c r="D8" s="19" t="n">
        <v>431</v>
      </c>
      <c r="E8" s="18" t="n">
        <v>47.97993829</v>
      </c>
      <c r="F8" s="20" t="n">
        <v>2.31707746</v>
      </c>
      <c r="G8" s="18" t="n">
        <v>36.39943075</v>
      </c>
      <c r="H8" s="20" t="n">
        <v>2.43245889</v>
      </c>
      <c r="I8" s="18" t="s">
        <v>349</v>
      </c>
      <c r="J8" s="20" t="s">
        <v>349</v>
      </c>
      <c r="K8" s="18" t="n">
        <v>0.75602562</v>
      </c>
      <c r="L8" s="20" t="n">
        <v>0.42049222</v>
      </c>
      <c r="M8" s="18" t="n">
        <v>0</v>
      </c>
      <c r="N8" s="20" t="n">
        <v>0</v>
      </c>
      <c r="O8" s="18" t="n">
        <v>0</v>
      </c>
      <c r="P8" s="20" t="n">
        <v>0</v>
      </c>
      <c r="Q8" s="18" t="n">
        <v>14.86460534</v>
      </c>
      <c r="R8" s="20" t="n">
        <v>1.96238735</v>
      </c>
    </row>
    <row r="9" spans="1:18">
      <c r="A9" s="15" t="s">
        <v>351</v>
      </c>
      <c r="B9" s="17" t="n">
        <v>4752</v>
      </c>
      <c r="C9" s="18">
        <f>(4169.0/B9*100)</f>
        <v/>
      </c>
      <c r="D9" s="19" t="n">
        <v>583</v>
      </c>
      <c r="E9" s="18" t="n">
        <v>45.24106615</v>
      </c>
      <c r="F9" s="20" t="n">
        <v>1.91529806</v>
      </c>
      <c r="G9" s="18" t="n">
        <v>38.65572003</v>
      </c>
      <c r="H9" s="20" t="n">
        <v>2.10677868</v>
      </c>
      <c r="I9" s="18" t="s">
        <v>349</v>
      </c>
      <c r="J9" s="20" t="s">
        <v>349</v>
      </c>
      <c r="K9" s="18" t="n">
        <v>0.34125242</v>
      </c>
      <c r="L9" s="20" t="n">
        <v>0.28460702</v>
      </c>
      <c r="M9" s="18" t="n">
        <v>0.28966597</v>
      </c>
      <c r="N9" s="20" t="n">
        <v>0.20350608</v>
      </c>
      <c r="O9" s="18" t="n">
        <v>0</v>
      </c>
      <c r="P9" s="20" t="n">
        <v>0</v>
      </c>
      <c r="Q9" s="18" t="n">
        <v>15.47229542</v>
      </c>
      <c r="R9" s="20" t="n">
        <v>1.47889081</v>
      </c>
    </row>
    <row r="10" spans="1:18">
      <c r="A10" s="15" t="s">
        <v>352</v>
      </c>
      <c r="B10" s="17" t="n">
        <v>10022</v>
      </c>
      <c r="C10" s="18">
        <f>(8798.0/B10*100)</f>
        <v/>
      </c>
      <c r="D10" s="19" t="n">
        <v>1224</v>
      </c>
      <c r="E10" s="18" t="n">
        <v>53.06102705</v>
      </c>
      <c r="F10" s="20" t="n">
        <v>1.80915345</v>
      </c>
      <c r="G10" s="18" t="n">
        <v>40.2651882</v>
      </c>
      <c r="H10" s="20" t="n">
        <v>1.88985788</v>
      </c>
      <c r="I10" s="18" t="s">
        <v>349</v>
      </c>
      <c r="J10" s="20" t="s">
        <v>349</v>
      </c>
      <c r="K10" s="18" t="n">
        <v>0.28033688</v>
      </c>
      <c r="L10" s="20" t="n">
        <v>0.22306536</v>
      </c>
      <c r="M10" s="18" t="n">
        <v>0.39278542</v>
      </c>
      <c r="N10" s="20" t="n">
        <v>0.22221036</v>
      </c>
      <c r="O10" s="18" t="n">
        <v>0</v>
      </c>
      <c r="P10" s="20" t="n">
        <v>0</v>
      </c>
      <c r="Q10" s="18" t="n">
        <v>6.00066245</v>
      </c>
      <c r="R10" s="20" t="n">
        <v>0.96910995</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(3008.0/B12*100)</f>
        <v/>
      </c>
      <c r="D12" s="19" t="n">
        <v>414</v>
      </c>
      <c r="E12" s="18" t="n">
        <v>47.14671443</v>
      </c>
      <c r="F12" s="20" t="n">
        <v>2.29969038</v>
      </c>
      <c r="G12" s="18" t="n">
        <v>27.46515008</v>
      </c>
      <c r="H12" s="20" t="n">
        <v>2.39037457</v>
      </c>
      <c r="I12" s="18" t="s">
        <v>349</v>
      </c>
      <c r="J12" s="20" t="s">
        <v>349</v>
      </c>
      <c r="K12" s="18" t="n">
        <v>0.22747523</v>
      </c>
      <c r="L12" s="20" t="n">
        <v>0.238864</v>
      </c>
      <c r="M12" s="18" t="n">
        <v>0</v>
      </c>
      <c r="N12" s="20" t="n">
        <v>0</v>
      </c>
      <c r="O12" s="18" t="n">
        <v>0</v>
      </c>
      <c r="P12" s="20" t="n">
        <v>0</v>
      </c>
      <c r="Q12" s="18" t="n">
        <v>25.16066026</v>
      </c>
      <c r="R12" s="20" t="n">
        <v>2.31314125</v>
      </c>
    </row>
    <row r="13" spans="1:18">
      <c r="A13" s="15" t="s">
        <v>355</v>
      </c>
      <c r="B13" s="17" t="n">
        <v>3602</v>
      </c>
      <c r="C13" s="18">
        <f>(3184.0/B13*100)</f>
        <v/>
      </c>
      <c r="D13" s="19" t="n">
        <v>418</v>
      </c>
      <c r="E13" s="18" t="n">
        <v>42.93534802</v>
      </c>
      <c r="F13" s="20" t="n">
        <v>2.77413676</v>
      </c>
      <c r="G13" s="18" t="n">
        <v>45.31233012</v>
      </c>
      <c r="H13" s="20" t="n">
        <v>2.48945376</v>
      </c>
      <c r="I13" s="18" t="s">
        <v>349</v>
      </c>
      <c r="J13" s="20" t="s">
        <v>349</v>
      </c>
      <c r="K13" s="18" t="n">
        <v>1.02165387</v>
      </c>
      <c r="L13" s="20" t="n">
        <v>0.60206034</v>
      </c>
      <c r="M13" s="18" t="n">
        <v>0.08924435</v>
      </c>
      <c r="N13" s="20" t="n">
        <v>0.09127356</v>
      </c>
      <c r="O13" s="18" t="n">
        <v>0</v>
      </c>
      <c r="P13" s="20" t="n">
        <v>0</v>
      </c>
      <c r="Q13" s="18" t="n">
        <v>10.64142364</v>
      </c>
      <c r="R13" s="20" t="n">
        <v>1.63394424</v>
      </c>
    </row>
    <row r="14" spans="1:18">
      <c r="A14" s="15" t="s">
        <v>356</v>
      </c>
      <c r="B14" s="17" t="n">
        <v>2788</v>
      </c>
      <c r="C14" s="18">
        <f>(2454.0/B14*100)</f>
        <v/>
      </c>
      <c r="D14" s="19" t="n">
        <v>334</v>
      </c>
      <c r="E14" s="18" t="n">
        <v>59.39590777</v>
      </c>
      <c r="F14" s="20" t="n">
        <v>2.95376386</v>
      </c>
      <c r="G14" s="18" t="n">
        <v>30.65822764</v>
      </c>
      <c r="H14" s="20" t="n">
        <v>2.72652686</v>
      </c>
      <c r="I14" s="18" t="s">
        <v>349</v>
      </c>
      <c r="J14" s="20" t="s">
        <v>349</v>
      </c>
      <c r="K14" s="18" t="n">
        <v>0</v>
      </c>
      <c r="L14" s="20" t="n">
        <v>0</v>
      </c>
      <c r="M14" s="18" t="n">
        <v>0</v>
      </c>
      <c r="N14" s="20" t="n">
        <v>0</v>
      </c>
      <c r="O14" s="18" t="n">
        <v>0</v>
      </c>
      <c r="P14" s="20" t="n">
        <v>0</v>
      </c>
      <c r="Q14" s="18" t="n">
        <v>9.94586458</v>
      </c>
      <c r="R14" s="20" t="n">
        <v>1.65463567</v>
      </c>
    </row>
    <row r="15" spans="1:18">
      <c r="A15" s="15" t="s">
        <v>357</v>
      </c>
      <c r="B15" s="17" t="n">
        <v>2863</v>
      </c>
      <c r="C15" s="18">
        <f>(2514.0/B15*100)</f>
        <v/>
      </c>
      <c r="D15" s="19" t="n">
        <v>349</v>
      </c>
      <c r="E15" s="18" t="n">
        <v>49.29373518</v>
      </c>
      <c r="F15" s="20" t="n">
        <v>2.70210953</v>
      </c>
      <c r="G15" s="18" t="n">
        <v>34.02108767</v>
      </c>
      <c r="H15" s="20" t="n">
        <v>2.64506084</v>
      </c>
      <c r="I15" s="18" t="s">
        <v>349</v>
      </c>
      <c r="J15" s="20" t="s">
        <v>349</v>
      </c>
      <c r="K15" s="18" t="n">
        <v>0.59017089</v>
      </c>
      <c r="L15" s="20" t="n">
        <v>0.40027906</v>
      </c>
      <c r="M15" s="18" t="n">
        <v>0</v>
      </c>
      <c r="N15" s="20" t="n">
        <v>0</v>
      </c>
      <c r="O15" s="18" t="n">
        <v>0</v>
      </c>
      <c r="P15" s="20" t="n">
        <v>0</v>
      </c>
      <c r="Q15" s="18" t="n">
        <v>16.09500625</v>
      </c>
      <c r="R15" s="20" t="n">
        <v>1.91503618</v>
      </c>
    </row>
    <row r="16" spans="1:18">
      <c r="A16" s="15" t="s">
        <v>358</v>
      </c>
      <c r="B16" s="17" t="n">
        <v>3111</v>
      </c>
      <c r="C16" s="18">
        <f>(2737.0/B16*100)</f>
        <v/>
      </c>
      <c r="D16" s="19" t="n">
        <v>374</v>
      </c>
      <c r="E16" s="18" t="n">
        <v>40.11429531</v>
      </c>
      <c r="F16" s="20" t="n">
        <v>2.23805069</v>
      </c>
      <c r="G16" s="18" t="n">
        <v>46.08474631</v>
      </c>
      <c r="H16" s="20" t="n">
        <v>2.23825908</v>
      </c>
      <c r="I16" s="18" t="s">
        <v>349</v>
      </c>
      <c r="J16" s="20" t="s">
        <v>349</v>
      </c>
      <c r="K16" s="18" t="n">
        <v>0.54940387</v>
      </c>
      <c r="L16" s="20" t="n">
        <v>0.38474781</v>
      </c>
      <c r="M16" s="18" t="n">
        <v>0</v>
      </c>
      <c r="N16" s="20" t="n">
        <v>0</v>
      </c>
      <c r="O16" s="18" t="n">
        <v>0</v>
      </c>
      <c r="P16" s="20" t="n">
        <v>0</v>
      </c>
      <c r="Q16" s="18" t="n">
        <v>13.25155451</v>
      </c>
      <c r="R16" s="20" t="n">
        <v>1.71418007</v>
      </c>
    </row>
    <row r="17" spans="1:18">
      <c r="A17" s="15" t="s">
        <v>359</v>
      </c>
      <c r="B17" s="17" t="n">
        <v>3197</v>
      </c>
      <c r="C17" s="18">
        <f>(2793.0/B17*100)</f>
        <v/>
      </c>
      <c r="D17" s="19" t="n">
        <v>404</v>
      </c>
      <c r="E17" s="18" t="n">
        <v>42.20411562</v>
      </c>
      <c r="F17" s="20" t="n">
        <v>2.78252293</v>
      </c>
      <c r="G17" s="18" t="n">
        <v>43.3284865</v>
      </c>
      <c r="H17" s="20" t="n">
        <v>2.72162083</v>
      </c>
      <c r="I17" s="18" t="s">
        <v>349</v>
      </c>
      <c r="J17" s="20" t="s">
        <v>349</v>
      </c>
      <c r="K17" s="18" t="n">
        <v>0.71946482</v>
      </c>
      <c r="L17" s="20" t="n">
        <v>0.41868716</v>
      </c>
      <c r="M17" s="18" t="n">
        <v>0</v>
      </c>
      <c r="N17" s="20" t="n">
        <v>0</v>
      </c>
      <c r="O17" s="18" t="n">
        <v>0</v>
      </c>
      <c r="P17" s="20" t="n">
        <v>0</v>
      </c>
      <c r="Q17" s="18" t="n">
        <v>13.74793306</v>
      </c>
      <c r="R17" s="20" t="n">
        <v>2.31344357</v>
      </c>
    </row>
    <row r="18" spans="1:18">
      <c r="A18" s="15" t="s">
        <v>360</v>
      </c>
      <c r="B18" s="17" t="n">
        <v>2706</v>
      </c>
      <c r="C18" s="18">
        <f>(2393.0/B18*100)</f>
        <v/>
      </c>
      <c r="D18" s="19" t="n">
        <v>313</v>
      </c>
      <c r="E18" s="18" t="n">
        <v>52.85363837</v>
      </c>
      <c r="F18" s="20" t="n">
        <v>3.00371313</v>
      </c>
      <c r="G18" s="18" t="n">
        <v>27.02725206</v>
      </c>
      <c r="H18" s="20" t="n">
        <v>2.64601937</v>
      </c>
      <c r="I18" s="18" t="s">
        <v>349</v>
      </c>
      <c r="J18" s="20" t="s">
        <v>349</v>
      </c>
      <c r="K18" s="18" t="n">
        <v>1.25035662</v>
      </c>
      <c r="L18" s="20" t="n">
        <v>0.93461001</v>
      </c>
      <c r="M18" s="18" t="n">
        <v>0.57706368</v>
      </c>
      <c r="N18" s="20" t="n">
        <v>0.35431037</v>
      </c>
      <c r="O18" s="18" t="n">
        <v>0</v>
      </c>
      <c r="P18" s="20" t="n">
        <v>0</v>
      </c>
      <c r="Q18" s="18" t="n">
        <v>18.29168928</v>
      </c>
      <c r="R18" s="20" t="n">
        <v>2.91854787</v>
      </c>
    </row>
    <row r="19" spans="1:18">
      <c r="A19" s="15" t="s">
        <v>361</v>
      </c>
      <c r="B19" s="17" t="n">
        <v>2850</v>
      </c>
      <c r="C19" s="18">
        <f>(2512.0/B19*100)</f>
        <v/>
      </c>
      <c r="D19" s="19" t="n">
        <v>338</v>
      </c>
      <c r="E19" s="18" t="n">
        <v>35.65194084</v>
      </c>
      <c r="F19" s="20" t="n">
        <v>2.8381777</v>
      </c>
      <c r="G19" s="18" t="n">
        <v>49.40880202</v>
      </c>
      <c r="H19" s="20" t="n">
        <v>2.73955964</v>
      </c>
      <c r="I19" s="18" t="s">
        <v>349</v>
      </c>
      <c r="J19" s="20" t="s">
        <v>349</v>
      </c>
      <c r="K19" s="18" t="n">
        <v>0</v>
      </c>
      <c r="L19" s="20" t="n">
        <v>0</v>
      </c>
      <c r="M19" s="18" t="n">
        <v>0</v>
      </c>
      <c r="N19" s="20" t="n">
        <v>0</v>
      </c>
      <c r="O19" s="18" t="n">
        <v>0</v>
      </c>
      <c r="P19" s="20" t="n">
        <v>0</v>
      </c>
      <c r="Q19" s="18" t="n">
        <v>14.93925714</v>
      </c>
      <c r="R19" s="20" t="n">
        <v>2.25186426</v>
      </c>
    </row>
    <row r="20" spans="1:18">
      <c r="A20" s="15" t="s">
        <v>362</v>
      </c>
      <c r="B20" s="17" t="n">
        <v>1741</v>
      </c>
      <c r="C20" s="18">
        <f>(1523.0/B20*100)</f>
        <v/>
      </c>
      <c r="D20" s="19" t="n">
        <v>218</v>
      </c>
      <c r="E20" s="18" t="n">
        <v>49.01507465</v>
      </c>
      <c r="F20" s="20" t="n">
        <v>3.26183818</v>
      </c>
      <c r="G20" s="18" t="n">
        <v>34.1010925</v>
      </c>
      <c r="H20" s="20" t="n">
        <v>3.45731236</v>
      </c>
      <c r="I20" s="18" t="s">
        <v>349</v>
      </c>
      <c r="J20" s="20" t="s">
        <v>349</v>
      </c>
      <c r="K20" s="18" t="n">
        <v>0.5317137199999999</v>
      </c>
      <c r="L20" s="20" t="n">
        <v>0.52071109</v>
      </c>
      <c r="M20" s="18" t="n">
        <v>0</v>
      </c>
      <c r="N20" s="20" t="n">
        <v>0</v>
      </c>
      <c r="O20" s="18" t="n">
        <v>0</v>
      </c>
      <c r="P20" s="20" t="n">
        <v>0</v>
      </c>
      <c r="Q20" s="18" t="n">
        <v>16.35211913</v>
      </c>
      <c r="R20" s="20" t="n">
        <v>2.63582922</v>
      </c>
    </row>
    <row r="21" spans="1:18">
      <c r="A21" s="15" t="s">
        <v>363</v>
      </c>
      <c r="B21" s="17" t="n">
        <v>2833</v>
      </c>
      <c r="C21" s="18">
        <f>(2380.0/B21*100)</f>
        <v/>
      </c>
      <c r="D21" s="19" t="n">
        <v>453</v>
      </c>
      <c r="E21" s="18" t="n">
        <v>49.39134656</v>
      </c>
      <c r="F21" s="20" t="n">
        <v>2.26466187</v>
      </c>
      <c r="G21" s="18" t="n">
        <v>40.93573021</v>
      </c>
      <c r="H21" s="20" t="n">
        <v>2.4225903</v>
      </c>
      <c r="I21" s="18" t="s">
        <v>349</v>
      </c>
      <c r="J21" s="20" t="s">
        <v>349</v>
      </c>
      <c r="K21" s="18" t="n">
        <v>0.16175137</v>
      </c>
      <c r="L21" s="20" t="n">
        <v>0.16098564</v>
      </c>
      <c r="M21" s="18" t="n">
        <v>0</v>
      </c>
      <c r="N21" s="20" t="n">
        <v>0</v>
      </c>
      <c r="O21" s="18" t="n">
        <v>0</v>
      </c>
      <c r="P21" s="20" t="n">
        <v>0</v>
      </c>
      <c r="Q21" s="18" t="n">
        <v>9.51117185</v>
      </c>
      <c r="R21" s="20" t="n">
        <v>1.47059564</v>
      </c>
    </row>
    <row r="22" spans="1:18">
      <c r="A22" s="15" t="s">
        <v>364</v>
      </c>
      <c r="B22" s="17" t="n">
        <v>3667</v>
      </c>
      <c r="C22" s="18">
        <f>(3193.0/B22*100)</f>
        <v/>
      </c>
      <c r="D22" s="19" t="n">
        <v>474</v>
      </c>
      <c r="E22" s="18" t="n">
        <v>53.46209102</v>
      </c>
      <c r="F22" s="20" t="n">
        <v>2.26909407</v>
      </c>
      <c r="G22" s="18" t="n">
        <v>26.32224162</v>
      </c>
      <c r="H22" s="20" t="n">
        <v>2.17856916</v>
      </c>
      <c r="I22" s="18" t="s">
        <v>349</v>
      </c>
      <c r="J22" s="20" t="s">
        <v>349</v>
      </c>
      <c r="K22" s="18" t="n">
        <v>1.28550798</v>
      </c>
      <c r="L22" s="20" t="n">
        <v>0.42105139</v>
      </c>
      <c r="M22" s="18" t="n">
        <v>0</v>
      </c>
      <c r="N22" s="20" t="n">
        <v>0</v>
      </c>
      <c r="O22" s="18" t="n">
        <v>0</v>
      </c>
      <c r="P22" s="20" t="n">
        <v>0</v>
      </c>
      <c r="Q22" s="18" t="n">
        <v>18.93015938</v>
      </c>
      <c r="R22" s="20" t="n">
        <v>1.74276526</v>
      </c>
    </row>
    <row r="23" spans="1:18">
      <c r="A23" s="15" t="s">
        <v>365</v>
      </c>
      <c r="B23" s="17" t="n">
        <v>5792</v>
      </c>
      <c r="C23" s="18">
        <f>(5079.0/B23*100)</f>
        <v/>
      </c>
      <c r="D23" s="19" t="n">
        <v>713</v>
      </c>
      <c r="E23" s="18" t="n">
        <v>43.16760566</v>
      </c>
      <c r="F23" s="20" t="n">
        <v>2.90701721</v>
      </c>
      <c r="G23" s="18" t="n">
        <v>19.8564315</v>
      </c>
      <c r="H23" s="20" t="n">
        <v>2.010607</v>
      </c>
      <c r="I23" s="18" t="s">
        <v>349</v>
      </c>
      <c r="J23" s="20" t="s">
        <v>349</v>
      </c>
      <c r="K23" s="18" t="n">
        <v>1.17584228</v>
      </c>
      <c r="L23" s="20" t="n">
        <v>0.60718912</v>
      </c>
      <c r="M23" s="18" t="n">
        <v>0.26056149</v>
      </c>
      <c r="N23" s="20" t="n">
        <v>0.23875676</v>
      </c>
      <c r="O23" s="18" t="n">
        <v>0</v>
      </c>
      <c r="P23" s="20" t="n">
        <v>0</v>
      </c>
      <c r="Q23" s="18" t="n">
        <v>35.53955908</v>
      </c>
      <c r="R23" s="20" t="n">
        <v>2.25796149</v>
      </c>
    </row>
    <row r="24" spans="1:18">
      <c r="A24" s="15" t="s">
        <v>366</v>
      </c>
      <c r="B24" s="17" t="n">
        <v>3309</v>
      </c>
      <c r="C24" s="18">
        <f>(2932.0/B24*100)</f>
        <v/>
      </c>
      <c r="D24" s="19" t="n">
        <v>377</v>
      </c>
      <c r="E24" s="18" t="n">
        <v>34.48196662</v>
      </c>
      <c r="F24" s="20" t="n">
        <v>2.38411378</v>
      </c>
      <c r="G24" s="18" t="n">
        <v>51.76307603</v>
      </c>
      <c r="H24" s="20" t="n">
        <v>2.52332356</v>
      </c>
      <c r="I24" s="18" t="s">
        <v>349</v>
      </c>
      <c r="J24" s="20" t="s">
        <v>349</v>
      </c>
      <c r="K24" s="18" t="n">
        <v>0.24366253</v>
      </c>
      <c r="L24" s="20" t="n">
        <v>0.24283132</v>
      </c>
      <c r="M24" s="18" t="n">
        <v>0</v>
      </c>
      <c r="N24" s="20" t="n">
        <v>0</v>
      </c>
      <c r="O24" s="18" t="n">
        <v>0</v>
      </c>
      <c r="P24" s="20" t="n">
        <v>0</v>
      </c>
      <c r="Q24" s="18" t="n">
        <v>13.51129482</v>
      </c>
      <c r="R24" s="20" t="n">
        <v>1.58943158</v>
      </c>
    </row>
    <row r="25" spans="1:18">
      <c r="A25" s="15" t="s">
        <v>367</v>
      </c>
      <c r="B25" s="17" t="n">
        <v>2669</v>
      </c>
      <c r="C25" s="18">
        <f>(2361.0/B25*100)</f>
        <v/>
      </c>
      <c r="D25" s="19" t="n">
        <v>308</v>
      </c>
      <c r="E25" s="18" t="n">
        <v>51.05704804</v>
      </c>
      <c r="F25" s="20" t="n">
        <v>3.00948398</v>
      </c>
      <c r="G25" s="18" t="n">
        <v>38.20637202</v>
      </c>
      <c r="H25" s="20" t="n">
        <v>2.81768817</v>
      </c>
      <c r="I25" s="18" t="s">
        <v>349</v>
      </c>
      <c r="J25" s="20" t="s">
        <v>349</v>
      </c>
      <c r="K25" s="18" t="n">
        <v>0</v>
      </c>
      <c r="L25" s="20" t="n">
        <v>0</v>
      </c>
      <c r="M25" s="18" t="n">
        <v>0</v>
      </c>
      <c r="N25" s="20" t="n">
        <v>0</v>
      </c>
      <c r="O25" s="18" t="n">
        <v>0</v>
      </c>
      <c r="P25" s="20" t="n">
        <v>0</v>
      </c>
      <c r="Q25" s="18" t="n">
        <v>10.73657994</v>
      </c>
      <c r="R25" s="20" t="n">
        <v>1.87418975</v>
      </c>
    </row>
    <row r="26" spans="1:18">
      <c r="A26" s="15" t="s">
        <v>368</v>
      </c>
      <c r="B26" s="17" t="n">
        <v>2419</v>
      </c>
      <c r="C26" s="18">
        <f>(2107.0/B26*100)</f>
        <v/>
      </c>
      <c r="D26" s="19" t="n">
        <v>312</v>
      </c>
      <c r="E26" s="18" t="n">
        <v>66.55409915</v>
      </c>
      <c r="F26" s="20" t="n">
        <v>2.69788148</v>
      </c>
      <c r="G26" s="18" t="n">
        <v>19.28029682</v>
      </c>
      <c r="H26" s="20" t="n">
        <v>2.20557141</v>
      </c>
      <c r="I26" s="18" t="s">
        <v>349</v>
      </c>
      <c r="J26" s="20" t="s">
        <v>349</v>
      </c>
      <c r="K26" s="18" t="n">
        <v>0.24493617</v>
      </c>
      <c r="L26" s="20" t="n">
        <v>0.2438561</v>
      </c>
      <c r="M26" s="18" t="n">
        <v>0.55965102</v>
      </c>
      <c r="N26" s="20" t="n">
        <v>0.39078139</v>
      </c>
      <c r="O26" s="18" t="n">
        <v>0</v>
      </c>
      <c r="P26" s="20" t="n">
        <v>0</v>
      </c>
      <c r="Q26" s="18" t="n">
        <v>13.36101685</v>
      </c>
      <c r="R26" s="20" t="n">
        <v>2.20720518</v>
      </c>
    </row>
    <row r="27" spans="1:18">
      <c r="A27" s="15" t="s">
        <v>369</v>
      </c>
      <c r="B27" s="17" t="n">
        <v>2683</v>
      </c>
      <c r="C27" s="18">
        <f>(2356.0/B27*100)</f>
        <v/>
      </c>
      <c r="D27" s="19" t="n">
        <v>327</v>
      </c>
      <c r="E27" s="18" t="n">
        <v>45.57353103</v>
      </c>
      <c r="F27" s="20" t="n">
        <v>2.78561743</v>
      </c>
      <c r="G27" s="18" t="n">
        <v>33.80706624</v>
      </c>
      <c r="H27" s="20" t="n">
        <v>2.37208599</v>
      </c>
      <c r="I27" s="18" t="s">
        <v>349</v>
      </c>
      <c r="J27" s="20" t="s">
        <v>349</v>
      </c>
      <c r="K27" s="18" t="n">
        <v>0.31405115</v>
      </c>
      <c r="L27" s="20" t="n">
        <v>0.31592432</v>
      </c>
      <c r="M27" s="18" t="n">
        <v>0</v>
      </c>
      <c r="N27" s="20" t="n">
        <v>0</v>
      </c>
      <c r="O27" s="18" t="n">
        <v>0</v>
      </c>
      <c r="P27" s="20" t="n">
        <v>0</v>
      </c>
      <c r="Q27" s="18" t="n">
        <v>20.30535157</v>
      </c>
      <c r="R27" s="20" t="n">
        <v>2.08497305</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(2375.0/B29*100)</f>
        <v/>
      </c>
      <c r="D29" s="19" t="n">
        <v>325</v>
      </c>
      <c r="E29" s="18" t="n">
        <v>46.31090885</v>
      </c>
      <c r="F29" s="20" t="n">
        <v>2.80953304</v>
      </c>
      <c r="G29" s="18" t="n">
        <v>43.81544535</v>
      </c>
      <c r="H29" s="20" t="n">
        <v>3.13415065</v>
      </c>
      <c r="I29" s="18" t="s">
        <v>349</v>
      </c>
      <c r="J29" s="20" t="s">
        <v>349</v>
      </c>
      <c r="K29" s="18" t="n">
        <v>0.91563591</v>
      </c>
      <c r="L29" s="20" t="n">
        <v>0.51256934</v>
      </c>
      <c r="M29" s="18" t="n">
        <v>0</v>
      </c>
      <c r="N29" s="20" t="n">
        <v>0</v>
      </c>
      <c r="O29" s="18" t="n">
        <v>0</v>
      </c>
      <c r="P29" s="20" t="n">
        <v>0</v>
      </c>
      <c r="Q29" s="18" t="n">
        <v>8.95800989</v>
      </c>
      <c r="R29" s="20" t="n">
        <v>1.67521213</v>
      </c>
    </row>
    <row r="30" spans="1:18">
      <c r="A30" s="15" t="s">
        <v>372</v>
      </c>
      <c r="B30" s="17" t="n">
        <v>2257</v>
      </c>
      <c r="C30" s="18">
        <f>(1977.0/B30*100)</f>
        <v/>
      </c>
      <c r="D30" s="19" t="n">
        <v>280</v>
      </c>
      <c r="E30" s="18" t="n">
        <v>45.43898717</v>
      </c>
      <c r="F30" s="20" t="n">
        <v>2.90423101</v>
      </c>
      <c r="G30" s="18" t="n">
        <v>38.72766426</v>
      </c>
      <c r="H30" s="20" t="n">
        <v>3.24150757</v>
      </c>
      <c r="I30" s="18" t="s">
        <v>349</v>
      </c>
      <c r="J30" s="20" t="s">
        <v>349</v>
      </c>
      <c r="K30" s="18" t="n">
        <v>1.17512183</v>
      </c>
      <c r="L30" s="20" t="n">
        <v>0.64350086</v>
      </c>
      <c r="M30" s="18" t="n">
        <v>0</v>
      </c>
      <c r="N30" s="20" t="n">
        <v>0</v>
      </c>
      <c r="O30" s="18" t="n">
        <v>0</v>
      </c>
      <c r="P30" s="20" t="n">
        <v>0</v>
      </c>
      <c r="Q30" s="18" t="n">
        <v>14.65822674</v>
      </c>
      <c r="R30" s="20" t="n">
        <v>2.29589109</v>
      </c>
    </row>
    <row r="31" spans="1:18">
      <c r="A31" s="15" t="s">
        <v>373</v>
      </c>
      <c r="B31" s="17" t="n">
        <v>2706</v>
      </c>
      <c r="C31" s="18">
        <f>(2361.0/B31*100)</f>
        <v/>
      </c>
      <c r="D31" s="19" t="n">
        <v>345</v>
      </c>
      <c r="E31" s="18" t="n">
        <v>38.87137412</v>
      </c>
      <c r="F31" s="20" t="n">
        <v>2.62143051</v>
      </c>
      <c r="G31" s="18" t="n">
        <v>41.87258353</v>
      </c>
      <c r="H31" s="20" t="n">
        <v>2.9642752</v>
      </c>
      <c r="I31" s="18" t="s">
        <v>349</v>
      </c>
      <c r="J31" s="20" t="s">
        <v>349</v>
      </c>
      <c r="K31" s="18" t="n">
        <v>0.8870184</v>
      </c>
      <c r="L31" s="20" t="n">
        <v>0.51399442</v>
      </c>
      <c r="M31" s="18" t="n">
        <v>0</v>
      </c>
      <c r="N31" s="20" t="n">
        <v>0</v>
      </c>
      <c r="O31" s="18" t="n">
        <v>0</v>
      </c>
      <c r="P31" s="20" t="n">
        <v>0</v>
      </c>
      <c r="Q31" s="18" t="n">
        <v>18.36902395</v>
      </c>
      <c r="R31" s="20" t="n">
        <v>2.27488339</v>
      </c>
    </row>
    <row r="32" spans="1:18">
      <c r="A32" s="15" t="s">
        <v>374</v>
      </c>
      <c r="B32" s="17" t="n">
        <v>2209</v>
      </c>
      <c r="C32" s="18">
        <f>(1834.0/B32*100)</f>
        <v/>
      </c>
      <c r="D32" s="19" t="n">
        <v>375</v>
      </c>
      <c r="E32" s="18" t="n">
        <v>56.03616535</v>
      </c>
      <c r="F32" s="20" t="n">
        <v>2.36545654</v>
      </c>
      <c r="G32" s="18" t="n">
        <v>26.75576087</v>
      </c>
      <c r="H32" s="20" t="n">
        <v>2.29838244</v>
      </c>
      <c r="I32" s="18" t="s">
        <v>349</v>
      </c>
      <c r="J32" s="20" t="s">
        <v>349</v>
      </c>
      <c r="K32" s="18" t="n">
        <v>0.56111085</v>
      </c>
      <c r="L32" s="20" t="n">
        <v>0.39098601</v>
      </c>
      <c r="M32" s="18" t="n">
        <v>0.23315434</v>
      </c>
      <c r="N32" s="20" t="n">
        <v>0.23457958</v>
      </c>
      <c r="O32" s="18" t="n">
        <v>0</v>
      </c>
      <c r="P32" s="20" t="n">
        <v>0</v>
      </c>
      <c r="Q32" s="18" t="n">
        <v>16.41380858</v>
      </c>
      <c r="R32" s="20" t="n">
        <v>1.89100681</v>
      </c>
    </row>
    <row r="33" spans="1:18">
      <c r="A33" s="15" t="s">
        <v>375</v>
      </c>
      <c r="B33" s="17" t="n">
        <v>3651</v>
      </c>
      <c r="C33" s="18">
        <f>(3205.0/B33*100)</f>
        <v/>
      </c>
      <c r="D33" s="19" t="n">
        <v>446</v>
      </c>
      <c r="E33" s="18" t="n">
        <v>55.33670522</v>
      </c>
      <c r="F33" s="20" t="n">
        <v>2.87544207</v>
      </c>
      <c r="G33" s="18" t="n">
        <v>25.66340554</v>
      </c>
      <c r="H33" s="20" t="n">
        <v>2.46315329</v>
      </c>
      <c r="I33" s="18" t="s">
        <v>349</v>
      </c>
      <c r="J33" s="20" t="s">
        <v>349</v>
      </c>
      <c r="K33" s="18" t="n">
        <v>0.86000193</v>
      </c>
      <c r="L33" s="20" t="n">
        <v>0.55939987</v>
      </c>
      <c r="M33" s="18" t="n">
        <v>0</v>
      </c>
      <c r="N33" s="20" t="n">
        <v>0</v>
      </c>
      <c r="O33" s="18" t="n">
        <v>0</v>
      </c>
      <c r="P33" s="20" t="n">
        <v>0</v>
      </c>
      <c r="Q33" s="18" t="n">
        <v>18.13988731</v>
      </c>
      <c r="R33" s="20" t="n">
        <v>2.13497778</v>
      </c>
    </row>
    <row r="34" spans="1:18">
      <c r="A34" s="15" t="s">
        <v>376</v>
      </c>
      <c r="B34" s="17" t="n">
        <v>3035</v>
      </c>
      <c r="C34" s="18">
        <f>(2644.0/B34*100)</f>
        <v/>
      </c>
      <c r="D34" s="19" t="n">
        <v>391</v>
      </c>
      <c r="E34" s="18" t="n">
        <v>56.86562116</v>
      </c>
      <c r="F34" s="20" t="n">
        <v>2.51791242</v>
      </c>
      <c r="G34" s="18" t="n">
        <v>27.20355834</v>
      </c>
      <c r="H34" s="20" t="n">
        <v>2.07193683</v>
      </c>
      <c r="I34" s="18" t="s">
        <v>349</v>
      </c>
      <c r="J34" s="20" t="s">
        <v>349</v>
      </c>
      <c r="K34" s="18" t="n">
        <v>0.76902132</v>
      </c>
      <c r="L34" s="20" t="n">
        <v>0.56869135</v>
      </c>
      <c r="M34" s="18" t="n">
        <v>0</v>
      </c>
      <c r="N34" s="20" t="n">
        <v>0</v>
      </c>
      <c r="O34" s="18" t="n">
        <v>0</v>
      </c>
      <c r="P34" s="20" t="n">
        <v>0</v>
      </c>
      <c r="Q34" s="18" t="n">
        <v>15.16179918</v>
      </c>
      <c r="R34" s="20" t="n">
        <v>1.97830568</v>
      </c>
    </row>
    <row r="35" spans="1:18">
      <c r="A35" s="15" t="s">
        <v>377</v>
      </c>
      <c r="B35" s="17" t="n">
        <v>2901</v>
      </c>
      <c r="C35" s="18">
        <f>(2532.0/B35*100)</f>
        <v/>
      </c>
      <c r="D35" s="19" t="n">
        <v>369</v>
      </c>
      <c r="E35" s="18" t="n">
        <v>47.59928451</v>
      </c>
      <c r="F35" s="20" t="n">
        <v>2.91030715</v>
      </c>
      <c r="G35" s="18" t="n">
        <v>40.39297098</v>
      </c>
      <c r="H35" s="20" t="n">
        <v>2.99298841</v>
      </c>
      <c r="I35" s="18" t="s">
        <v>349</v>
      </c>
      <c r="J35" s="20" t="s">
        <v>349</v>
      </c>
      <c r="K35" s="18" t="n">
        <v>0</v>
      </c>
      <c r="L35" s="20" t="n">
        <v>0</v>
      </c>
      <c r="M35" s="18" t="n">
        <v>0</v>
      </c>
      <c r="N35" s="20" t="n">
        <v>0</v>
      </c>
      <c r="O35" s="18" t="n">
        <v>0</v>
      </c>
      <c r="P35" s="20" t="n">
        <v>0</v>
      </c>
      <c r="Q35" s="18" t="n">
        <v>12.0077445</v>
      </c>
      <c r="R35" s="20" t="n">
        <v>1.83550203</v>
      </c>
    </row>
    <row r="36" spans="1:18">
      <c r="A36" s="15" t="s">
        <v>378</v>
      </c>
      <c r="B36" s="17" t="n">
        <v>3404</v>
      </c>
      <c r="C36" s="18">
        <f>(2991.0/B36*100)</f>
        <v/>
      </c>
      <c r="D36" s="19" t="n">
        <v>413</v>
      </c>
      <c r="E36" s="18" t="n">
        <v>59.50808953</v>
      </c>
      <c r="F36" s="20" t="n">
        <v>2.25862525</v>
      </c>
      <c r="G36" s="18" t="n">
        <v>28.88762134</v>
      </c>
      <c r="H36" s="20" t="n">
        <v>1.90073196</v>
      </c>
      <c r="I36" s="18" t="s">
        <v>349</v>
      </c>
      <c r="J36" s="20" t="s">
        <v>349</v>
      </c>
      <c r="K36" s="18" t="n">
        <v>0.6190428</v>
      </c>
      <c r="L36" s="20" t="n">
        <v>0.44071664</v>
      </c>
      <c r="M36" s="18" t="n">
        <v>0</v>
      </c>
      <c r="N36" s="20" t="n">
        <v>0</v>
      </c>
      <c r="O36" s="18" t="n">
        <v>0</v>
      </c>
      <c r="P36" s="20" t="n">
        <v>0</v>
      </c>
      <c r="Q36" s="18" t="n">
        <v>10.98524633</v>
      </c>
      <c r="R36" s="20" t="n">
        <v>1.64587038</v>
      </c>
    </row>
    <row r="37" spans="1:18">
      <c r="A37" s="15" t="s">
        <v>379</v>
      </c>
      <c r="B37" s="17" t="n">
        <v>2731</v>
      </c>
      <c r="C37" s="18">
        <f>(2400.0/B37*100)</f>
        <v/>
      </c>
      <c r="D37" s="19" t="n">
        <v>331</v>
      </c>
      <c r="E37" s="18" t="n">
        <v>38.35946261</v>
      </c>
      <c r="F37" s="20" t="n">
        <v>2.88823799</v>
      </c>
      <c r="G37" s="18" t="n">
        <v>30.4440526</v>
      </c>
      <c r="H37" s="20" t="n">
        <v>3.13539015</v>
      </c>
      <c r="I37" s="18" t="s">
        <v>349</v>
      </c>
      <c r="J37" s="20" t="s">
        <v>349</v>
      </c>
      <c r="K37" s="18" t="n">
        <v>2.19683068</v>
      </c>
      <c r="L37" s="20" t="n">
        <v>0.7916199</v>
      </c>
      <c r="M37" s="18" t="n">
        <v>0</v>
      </c>
      <c r="N37" s="20" t="n">
        <v>0</v>
      </c>
      <c r="O37" s="18" t="n">
        <v>0</v>
      </c>
      <c r="P37" s="20" t="n">
        <v>0</v>
      </c>
      <c r="Q37" s="18" t="n">
        <v>28.99965411</v>
      </c>
      <c r="R37" s="20" t="n">
        <v>2.82525797</v>
      </c>
    </row>
    <row r="38" spans="1:18">
      <c r="A38" s="15" t="s">
        <v>380</v>
      </c>
      <c r="B38" s="17" t="n">
        <v>2807</v>
      </c>
      <c r="C38" s="18">
        <f>(2357.0/B38*100)</f>
        <v/>
      </c>
      <c r="D38" s="19" t="n">
        <v>450</v>
      </c>
      <c r="E38" s="18" t="n">
        <v>43.72069779</v>
      </c>
      <c r="F38" s="20" t="n">
        <v>2.92975461</v>
      </c>
      <c r="G38" s="18" t="n">
        <v>43.73108261</v>
      </c>
      <c r="H38" s="20" t="n">
        <v>2.76360018</v>
      </c>
      <c r="I38" s="18" t="s">
        <v>349</v>
      </c>
      <c r="J38" s="20" t="s">
        <v>349</v>
      </c>
      <c r="K38" s="18" t="n">
        <v>0.23868713</v>
      </c>
      <c r="L38" s="20" t="n">
        <v>0.21149026</v>
      </c>
      <c r="M38" s="18" t="n">
        <v>0.30279477</v>
      </c>
      <c r="N38" s="20" t="n">
        <v>0.30628092</v>
      </c>
      <c r="O38" s="18" t="n">
        <v>0</v>
      </c>
      <c r="P38" s="20" t="n">
        <v>0</v>
      </c>
      <c r="Q38" s="18" t="n">
        <v>12.0067377</v>
      </c>
      <c r="R38" s="20" t="n">
        <v>1.67045797</v>
      </c>
    </row>
    <row r="39" spans="1:18">
      <c r="A39" s="15" t="s">
        <v>381</v>
      </c>
      <c r="B39" s="17" t="n">
        <v>2938</v>
      </c>
      <c r="C39" s="18">
        <f>(2566.0/B39*100)</f>
        <v/>
      </c>
      <c r="D39" s="19" t="n">
        <v>372</v>
      </c>
      <c r="E39" s="18" t="n">
        <v>69.96986803999999</v>
      </c>
      <c r="F39" s="20" t="n">
        <v>2.79056326</v>
      </c>
      <c r="G39" s="18" t="n">
        <v>18.07669762</v>
      </c>
      <c r="H39" s="20" t="n">
        <v>2.04720492</v>
      </c>
      <c r="I39" s="18" t="s">
        <v>349</v>
      </c>
      <c r="J39" s="20" t="s">
        <v>349</v>
      </c>
      <c r="K39" s="18" t="n">
        <v>0</v>
      </c>
      <c r="L39" s="20" t="n">
        <v>0</v>
      </c>
      <c r="M39" s="18" t="n">
        <v>0</v>
      </c>
      <c r="N39" s="20" t="n">
        <v>0</v>
      </c>
      <c r="O39" s="18" t="n">
        <v>0</v>
      </c>
      <c r="P39" s="20" t="n">
        <v>0</v>
      </c>
      <c r="Q39" s="18" t="n">
        <v>11.95343434</v>
      </c>
      <c r="R39" s="20" t="n">
        <v>1.73057222</v>
      </c>
    </row>
    <row r="40" spans="1:18">
      <c r="A40" s="15" t="s">
        <v>382</v>
      </c>
      <c r="B40" s="17" t="n">
        <v>6922</v>
      </c>
      <c r="C40" s="18">
        <f>(6014.0/B40*100)</f>
        <v/>
      </c>
      <c r="D40" s="19" t="n">
        <v>908</v>
      </c>
      <c r="E40" s="18" t="n">
        <v>49.8211669</v>
      </c>
      <c r="F40" s="20" t="n">
        <v>2.56671301</v>
      </c>
      <c r="G40" s="18" t="n">
        <v>37.00156961</v>
      </c>
      <c r="H40" s="20" t="n">
        <v>2.40364851</v>
      </c>
      <c r="I40" s="18" t="s">
        <v>349</v>
      </c>
      <c r="J40" s="20" t="s">
        <v>349</v>
      </c>
      <c r="K40" s="18" t="n">
        <v>0.84675716</v>
      </c>
      <c r="L40" s="20" t="n">
        <v>0.48927864</v>
      </c>
      <c r="M40" s="18" t="n">
        <v>0</v>
      </c>
      <c r="N40" s="20" t="n">
        <v>0</v>
      </c>
      <c r="O40" s="18" t="n">
        <v>0</v>
      </c>
      <c r="P40" s="20" t="n">
        <v>0</v>
      </c>
      <c r="Q40" s="18" t="n">
        <v>12.33050633</v>
      </c>
      <c r="R40" s="20" t="n">
        <v>1.73442079</v>
      </c>
    </row>
    <row r="41" spans="1:18">
      <c r="A41" s="15" t="s">
        <v>383</v>
      </c>
      <c r="B41" s="17" t="n">
        <v>2854</v>
      </c>
      <c r="C41" s="18">
        <f>(2495.0/B41*100)</f>
        <v/>
      </c>
      <c r="D41" s="19" t="n">
        <v>359</v>
      </c>
      <c r="E41" s="18" t="n">
        <v>64.57544672</v>
      </c>
      <c r="F41" s="20" t="n">
        <v>2.40605012</v>
      </c>
      <c r="G41" s="18" t="n">
        <v>32.0477399</v>
      </c>
      <c r="H41" s="20" t="n">
        <v>2.5481371</v>
      </c>
      <c r="I41" s="18" t="s">
        <v>349</v>
      </c>
      <c r="J41" s="20" t="s">
        <v>349</v>
      </c>
      <c r="K41" s="18" t="n">
        <v>0</v>
      </c>
      <c r="L41" s="20" t="n">
        <v>0</v>
      </c>
      <c r="M41" s="18" t="n">
        <v>0</v>
      </c>
      <c r="N41" s="20" t="n">
        <v>0</v>
      </c>
      <c r="O41" s="18" t="n">
        <v>0</v>
      </c>
      <c r="P41" s="20" t="n">
        <v>0</v>
      </c>
      <c r="Q41" s="18" t="n">
        <v>3.37681339</v>
      </c>
      <c r="R41" s="20" t="n">
        <v>0.94694105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(4111.0/B48*100)</f>
        <v/>
      </c>
      <c r="D48" s="19" t="n">
        <v>571</v>
      </c>
      <c r="E48" s="18" t="n">
        <v>43.98020411</v>
      </c>
      <c r="F48" s="20" t="n">
        <v>2.98246331</v>
      </c>
      <c r="G48" s="18" t="n">
        <v>46.53481934</v>
      </c>
      <c r="H48" s="20" t="n">
        <v>3.30825233</v>
      </c>
      <c r="I48" s="18" t="s">
        <v>349</v>
      </c>
      <c r="J48" s="20" t="s">
        <v>349</v>
      </c>
      <c r="K48" s="18" t="n">
        <v>0.38558326</v>
      </c>
      <c r="L48" s="20" t="n">
        <v>0.32939636</v>
      </c>
      <c r="M48" s="18" t="n">
        <v>0</v>
      </c>
      <c r="N48" s="20" t="n">
        <v>0</v>
      </c>
      <c r="O48" s="18" t="n">
        <v>0</v>
      </c>
      <c r="P48" s="20" t="n">
        <v>0</v>
      </c>
      <c r="Q48" s="18" t="n">
        <v>9.09939329</v>
      </c>
      <c r="R48" s="20" t="n">
        <v>1.67591153</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(2624.0/B52*100)</f>
        <v/>
      </c>
      <c r="D52" s="19" t="n">
        <v>389</v>
      </c>
      <c r="E52" s="18" t="n">
        <v>48.49298833</v>
      </c>
      <c r="F52" s="20" t="n">
        <v>2.47767229</v>
      </c>
      <c r="G52" s="18" t="n">
        <v>27.34887883</v>
      </c>
      <c r="H52" s="20" t="n">
        <v>1.99280262</v>
      </c>
      <c r="I52" s="18" t="s">
        <v>349</v>
      </c>
      <c r="J52" s="20" t="s">
        <v>349</v>
      </c>
      <c r="K52" s="18" t="n">
        <v>1.15019557</v>
      </c>
      <c r="L52" s="20" t="n">
        <v>0.35977722</v>
      </c>
      <c r="M52" s="18" t="n">
        <v>0</v>
      </c>
      <c r="N52" s="20" t="n">
        <v>0</v>
      </c>
      <c r="O52" s="18" t="n">
        <v>0</v>
      </c>
      <c r="P52" s="20" t="n">
        <v>0</v>
      </c>
      <c r="Q52" s="18" t="n">
        <v>23.00793726</v>
      </c>
      <c r="R52" s="20" t="n">
        <v>2.01226351</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46.39849363</v>
      </c>
      <c r="F56" s="20" t="n">
        <v>2.78241389</v>
      </c>
      <c r="G56" s="18" t="n">
        <v>49.10063037</v>
      </c>
      <c r="H56" s="20" t="n">
        <v>2.68457712</v>
      </c>
      <c r="I56" s="18" t="s">
        <v>349</v>
      </c>
      <c r="J56" s="20" t="s">
        <v>349</v>
      </c>
      <c r="K56" s="18" t="n">
        <v>0</v>
      </c>
      <c r="L56" s="20" t="n">
        <v>0</v>
      </c>
      <c r="M56" s="18" t="n">
        <v>0</v>
      </c>
      <c r="N56" s="20" t="n">
        <v>0</v>
      </c>
      <c r="O56" s="18" t="n">
        <v>0</v>
      </c>
      <c r="P56" s="20" t="n">
        <v>0</v>
      </c>
      <c r="Q56" s="18" t="n">
        <v>4.500876</v>
      </c>
      <c r="R56" s="20" t="n">
        <v>1.10469801</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(2821.0/B61*100)</f>
        <v/>
      </c>
      <c r="D61" s="19" t="n">
        <v>380</v>
      </c>
      <c r="E61" s="18" t="n">
        <v>62.47906855</v>
      </c>
      <c r="F61" s="20" t="n">
        <v>2.7214285</v>
      </c>
      <c r="G61" s="18" t="n">
        <v>24.55332593</v>
      </c>
      <c r="H61" s="20" t="n">
        <v>2.38511896</v>
      </c>
      <c r="I61" s="18" t="s">
        <v>349</v>
      </c>
      <c r="J61" s="20" t="s">
        <v>349</v>
      </c>
      <c r="K61" s="18" t="n">
        <v>0.6659318400000001</v>
      </c>
      <c r="L61" s="20" t="n">
        <v>0.39897306</v>
      </c>
      <c r="M61" s="18" t="n">
        <v>0</v>
      </c>
      <c r="N61" s="20" t="n">
        <v>0</v>
      </c>
      <c r="O61" s="18" t="n">
        <v>0</v>
      </c>
      <c r="P61" s="20" t="n">
        <v>0</v>
      </c>
      <c r="Q61" s="18" t="n">
        <v>12.30167368</v>
      </c>
      <c r="R61" s="20" t="n">
        <v>1.76151357</v>
      </c>
    </row>
    <row r="62" spans="1:18">
      <c r="A62" s="15" t="s">
        <v>404</v>
      </c>
      <c r="B62" s="17" t="n">
        <v>2230</v>
      </c>
      <c r="C62" s="18">
        <f>(1951.0/B62*100)</f>
        <v/>
      </c>
      <c r="D62" s="19" t="n">
        <v>279</v>
      </c>
      <c r="E62" s="18" t="n">
        <v>53.4345305</v>
      </c>
      <c r="F62" s="20" t="n">
        <v>3.1701649</v>
      </c>
      <c r="G62" s="18" t="n">
        <v>43.3373141</v>
      </c>
      <c r="H62" s="20" t="n">
        <v>3.18488702</v>
      </c>
      <c r="I62" s="18" t="s">
        <v>349</v>
      </c>
      <c r="J62" s="20" t="s">
        <v>349</v>
      </c>
      <c r="K62" s="18" t="n">
        <v>0</v>
      </c>
      <c r="L62" s="20" t="n">
        <v>0</v>
      </c>
      <c r="M62" s="18" t="n">
        <v>0</v>
      </c>
      <c r="N62" s="20" t="n">
        <v>0</v>
      </c>
      <c r="O62" s="18" t="n">
        <v>0</v>
      </c>
      <c r="P62" s="20" t="n">
        <v>0</v>
      </c>
      <c r="Q62" s="18" t="n">
        <v>3.2281554</v>
      </c>
      <c r="R62" s="20" t="n">
        <v>1.07391796</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(2443.0/B66*100)</f>
        <v/>
      </c>
      <c r="D66" s="19" t="n">
        <v>328</v>
      </c>
      <c r="E66" s="18" t="n">
        <v>54.4999997</v>
      </c>
      <c r="F66" s="20" t="n">
        <v>2.73842446</v>
      </c>
      <c r="G66" s="18" t="n">
        <v>13.63686845</v>
      </c>
      <c r="H66" s="20" t="n">
        <v>2.07198869</v>
      </c>
      <c r="I66" s="18" t="s">
        <v>349</v>
      </c>
      <c r="J66" s="20" t="s">
        <v>349</v>
      </c>
      <c r="K66" s="18" t="n">
        <v>1.90049353</v>
      </c>
      <c r="L66" s="20" t="n">
        <v>0.78159356</v>
      </c>
      <c r="M66" s="18" t="n">
        <v>0.5326551899999999</v>
      </c>
      <c r="N66" s="20" t="n">
        <v>0.38053806</v>
      </c>
      <c r="O66" s="18" t="n">
        <v>0</v>
      </c>
      <c r="P66" s="20" t="n">
        <v>0</v>
      </c>
      <c r="Q66" s="18" t="n">
        <v>29.42998313</v>
      </c>
      <c r="R66" s="20" t="n">
        <v>2.58761085</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(5032.0/B68*100)</f>
        <v/>
      </c>
      <c r="D68" s="19" t="n">
        <v>1002</v>
      </c>
      <c r="E68" s="18" t="n">
        <v>72.70819895</v>
      </c>
      <c r="F68" s="20" t="n">
        <v>1.5463686</v>
      </c>
      <c r="G68" s="18" t="n">
        <v>9.10165069</v>
      </c>
      <c r="H68" s="20" t="n">
        <v>0.9867883</v>
      </c>
      <c r="I68" s="18" t="s">
        <v>349</v>
      </c>
      <c r="J68" s="20" t="s">
        <v>349</v>
      </c>
      <c r="K68" s="18" t="n">
        <v>1.17198415</v>
      </c>
      <c r="L68" s="20" t="n">
        <v>0.31256019</v>
      </c>
      <c r="M68" s="18" t="n">
        <v>0.09685094</v>
      </c>
      <c r="N68" s="20" t="n">
        <v>0.09698969</v>
      </c>
      <c r="O68" s="18" t="n">
        <v>0</v>
      </c>
      <c r="P68" s="20" t="n">
        <v>0</v>
      </c>
      <c r="Q68" s="18" t="n">
        <v>16.92131527</v>
      </c>
      <c r="R68" s="20" t="n">
        <v>1.2321032</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(2710.0/B70*100)</f>
        <v/>
      </c>
      <c r="D70" s="19" t="n">
        <v>397</v>
      </c>
      <c r="E70" s="18" t="n">
        <v>40.67098677</v>
      </c>
      <c r="F70" s="20" t="n">
        <v>2.45012324</v>
      </c>
      <c r="G70" s="18" t="n">
        <v>38.34829357</v>
      </c>
      <c r="H70" s="20" t="n">
        <v>2.80394491</v>
      </c>
      <c r="I70" s="18" t="s">
        <v>349</v>
      </c>
      <c r="J70" s="20" t="s">
        <v>349</v>
      </c>
      <c r="K70" s="18" t="n">
        <v>0.27128744</v>
      </c>
      <c r="L70" s="20" t="n">
        <v>0.26823902</v>
      </c>
      <c r="M70" s="18" t="n">
        <v>2.098853</v>
      </c>
      <c r="N70" s="20" t="n">
        <v>0.54759277</v>
      </c>
      <c r="O70" s="18" t="n">
        <v>0</v>
      </c>
      <c r="P70" s="20" t="n">
        <v>0</v>
      </c>
      <c r="Q70" s="18" t="n">
        <v>18.61057922</v>
      </c>
      <c r="R70" s="20" t="n">
        <v>2.32816</v>
      </c>
    </row>
    <row r="71" spans="1:18">
      <c r="A71" s="15" t="s">
        <v>413</v>
      </c>
      <c r="B71" s="17" t="n">
        <v>2973</v>
      </c>
      <c r="C71" s="18">
        <f>(2599.0/B71*100)</f>
        <v/>
      </c>
      <c r="D71" s="19" t="n">
        <v>374</v>
      </c>
      <c r="E71" s="18" t="n">
        <v>65.87232811</v>
      </c>
      <c r="F71" s="20" t="n">
        <v>2.55149695</v>
      </c>
      <c r="G71" s="18" t="n">
        <v>29.62004718</v>
      </c>
      <c r="H71" s="20" t="n">
        <v>2.42044199</v>
      </c>
      <c r="I71" s="18" t="s">
        <v>349</v>
      </c>
      <c r="J71" s="20" t="s">
        <v>349</v>
      </c>
      <c r="K71" s="18" t="n">
        <v>0</v>
      </c>
      <c r="L71" s="20" t="n">
        <v>0</v>
      </c>
      <c r="M71" s="18" t="n">
        <v>0</v>
      </c>
      <c r="N71" s="20" t="n">
        <v>0</v>
      </c>
      <c r="O71" s="18" t="n">
        <v>0</v>
      </c>
      <c r="P71" s="20" t="n">
        <v>0</v>
      </c>
      <c r="Q71" s="18" t="n">
        <v>4.50762471</v>
      </c>
      <c r="R71" s="20" t="n">
        <v>1.18555882</v>
      </c>
    </row>
    <row r="72" spans="1:18">
      <c r="A72" s="15" t="s">
        <v>414</v>
      </c>
      <c r="B72" s="17" t="n">
        <v>3819</v>
      </c>
      <c r="C72" s="18">
        <f>(3341.0/B72*100)</f>
        <v/>
      </c>
      <c r="D72" s="19" t="n">
        <v>478</v>
      </c>
      <c r="E72" s="18" t="n">
        <v>41.84779752</v>
      </c>
      <c r="F72" s="20" t="n">
        <v>2.29614634</v>
      </c>
      <c r="G72" s="18" t="n">
        <v>49.56033019</v>
      </c>
      <c r="H72" s="20" t="n">
        <v>2.34638994</v>
      </c>
      <c r="I72" s="18" t="s">
        <v>349</v>
      </c>
      <c r="J72" s="20" t="s">
        <v>349</v>
      </c>
      <c r="K72" s="18" t="n">
        <v>0</v>
      </c>
      <c r="L72" s="20" t="n">
        <v>0</v>
      </c>
      <c r="M72" s="18" t="n">
        <v>0</v>
      </c>
      <c r="N72" s="20" t="n">
        <v>0</v>
      </c>
      <c r="O72" s="18" t="n">
        <v>0</v>
      </c>
      <c r="P72" s="20" t="n">
        <v>0</v>
      </c>
      <c r="Q72" s="18" t="n">
        <v>8.59187229</v>
      </c>
      <c r="R72" s="20" t="n">
        <v>1.21278559</v>
      </c>
    </row>
    <row r="73" spans="1:18">
      <c r="A73" s="15" t="s">
        <v>415</v>
      </c>
      <c r="B73" s="17" t="n">
        <v>4652</v>
      </c>
      <c r="C73" s="18">
        <f>(4103.0/B73*100)</f>
        <v/>
      </c>
      <c r="D73" s="19" t="n">
        <v>549</v>
      </c>
      <c r="E73" s="18" t="n">
        <v>85.31896833</v>
      </c>
      <c r="F73" s="20" t="n">
        <v>1.84445941</v>
      </c>
      <c r="G73" s="18" t="n">
        <v>9.17349628</v>
      </c>
      <c r="H73" s="20" t="n">
        <v>1.51976723</v>
      </c>
      <c r="I73" s="18" t="s">
        <v>349</v>
      </c>
      <c r="J73" s="20" t="s">
        <v>349</v>
      </c>
      <c r="K73" s="18" t="n">
        <v>0</v>
      </c>
      <c r="L73" s="20" t="n">
        <v>0</v>
      </c>
      <c r="M73" s="18" t="n">
        <v>0.35979567</v>
      </c>
      <c r="N73" s="20" t="n">
        <v>0.37384861</v>
      </c>
      <c r="O73" s="18" t="n">
        <v>0</v>
      </c>
      <c r="P73" s="20" t="n">
        <v>0</v>
      </c>
      <c r="Q73" s="18" t="n">
        <v>5.14773972</v>
      </c>
      <c r="R73" s="20" t="n">
        <v>1.07478013</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(4103.0/B81*100)</f>
        <v/>
      </c>
      <c r="D81" s="19" t="n">
        <v>595</v>
      </c>
      <c r="E81" s="18" t="n">
        <v>86.46231409000001</v>
      </c>
      <c r="F81" s="20" t="n">
        <v>1.68935046</v>
      </c>
      <c r="G81" s="18" t="n">
        <v>7.53911749</v>
      </c>
      <c r="H81" s="20" t="n">
        <v>1.11507981</v>
      </c>
      <c r="I81" s="18" t="s">
        <v>349</v>
      </c>
      <c r="J81" s="20" t="s">
        <v>349</v>
      </c>
      <c r="K81" s="18" t="n">
        <v>0</v>
      </c>
      <c r="L81" s="20" t="n">
        <v>0</v>
      </c>
      <c r="M81" s="18" t="n">
        <v>0</v>
      </c>
      <c r="N81" s="20" t="n">
        <v>0</v>
      </c>
      <c r="O81" s="18" t="n">
        <v>0</v>
      </c>
      <c r="P81" s="20" t="n">
        <v>0</v>
      </c>
      <c r="Q81" s="18" t="n">
        <v>5.99856842</v>
      </c>
      <c r="R81" s="20" t="n">
        <v>1.30934441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(6290.0/B7*100)</f>
        <v/>
      </c>
      <c r="D7" s="19" t="n">
        <v>873</v>
      </c>
      <c r="E7" s="18" t="n">
        <v>57.37865477</v>
      </c>
      <c r="F7" s="20" t="n">
        <v>1.98079664</v>
      </c>
      <c r="G7" s="18" t="n">
        <v>32.59802629</v>
      </c>
      <c r="H7" s="20" t="n">
        <v>1.64583878</v>
      </c>
      <c r="I7" s="18" t="s">
        <v>349</v>
      </c>
      <c r="J7" s="20" t="s">
        <v>349</v>
      </c>
      <c r="K7" s="18" t="n">
        <v>0.27997322</v>
      </c>
      <c r="L7" s="20" t="n">
        <v>0.09113275999999999</v>
      </c>
      <c r="M7" s="18" t="n">
        <v>0</v>
      </c>
      <c r="N7" s="20" t="n">
        <v>0</v>
      </c>
      <c r="O7" s="18" t="n">
        <v>0</v>
      </c>
      <c r="P7" s="20" t="n">
        <v>0</v>
      </c>
      <c r="Q7" s="18" t="n">
        <v>9.74334571</v>
      </c>
      <c r="R7" s="20" t="n">
        <v>1.05311533</v>
      </c>
    </row>
    <row r="8" spans="1:18">
      <c r="A8" s="15" t="s">
        <v>350</v>
      </c>
      <c r="B8" s="17" t="n">
        <v>3443</v>
      </c>
      <c r="C8" s="18">
        <f>(3012.0/B8*100)</f>
        <v/>
      </c>
      <c r="D8" s="19" t="n">
        <v>431</v>
      </c>
      <c r="E8" s="18" t="n">
        <v>52.33213628</v>
      </c>
      <c r="F8" s="20" t="n">
        <v>2.16459067</v>
      </c>
      <c r="G8" s="18" t="n">
        <v>35.57748988</v>
      </c>
      <c r="H8" s="20" t="n">
        <v>2.34747232</v>
      </c>
      <c r="I8" s="18" t="s">
        <v>349</v>
      </c>
      <c r="J8" s="20" t="s">
        <v>349</v>
      </c>
      <c r="K8" s="18" t="n">
        <v>0.75602562</v>
      </c>
      <c r="L8" s="20" t="n">
        <v>0.42049222</v>
      </c>
      <c r="M8" s="18" t="n">
        <v>0</v>
      </c>
      <c r="N8" s="20" t="n">
        <v>0</v>
      </c>
      <c r="O8" s="18" t="n">
        <v>0</v>
      </c>
      <c r="P8" s="20" t="n">
        <v>0</v>
      </c>
      <c r="Q8" s="18" t="n">
        <v>11.33434821</v>
      </c>
      <c r="R8" s="20" t="n">
        <v>1.40686288</v>
      </c>
    </row>
    <row r="9" spans="1:18">
      <c r="A9" s="15" t="s">
        <v>351</v>
      </c>
      <c r="B9" s="17" t="n">
        <v>4752</v>
      </c>
      <c r="C9" s="18">
        <f>(4168.0/B9*100)</f>
        <v/>
      </c>
      <c r="D9" s="19" t="n">
        <v>584</v>
      </c>
      <c r="E9" s="18" t="n">
        <v>59.85379252</v>
      </c>
      <c r="F9" s="20" t="n">
        <v>2.31526261</v>
      </c>
      <c r="G9" s="18" t="n">
        <v>30.33121287</v>
      </c>
      <c r="H9" s="20" t="n">
        <v>1.94217537</v>
      </c>
      <c r="I9" s="18" t="s">
        <v>349</v>
      </c>
      <c r="J9" s="20" t="s">
        <v>349</v>
      </c>
      <c r="K9" s="18" t="n">
        <v>0.34114602</v>
      </c>
      <c r="L9" s="20" t="n">
        <v>0.2845199</v>
      </c>
      <c r="M9" s="18" t="n">
        <v>0</v>
      </c>
      <c r="N9" s="20" t="n">
        <v>0</v>
      </c>
      <c r="O9" s="18" t="n">
        <v>0</v>
      </c>
      <c r="P9" s="20" t="n">
        <v>0</v>
      </c>
      <c r="Q9" s="18" t="n">
        <v>9.473848589999999</v>
      </c>
      <c r="R9" s="20" t="n">
        <v>1.36821864</v>
      </c>
    </row>
    <row r="10" spans="1:18">
      <c r="A10" s="15" t="s">
        <v>352</v>
      </c>
      <c r="B10" s="17" t="n">
        <v>10022</v>
      </c>
      <c r="C10" s="18">
        <f>(8797.0/B10*100)</f>
        <v/>
      </c>
      <c r="D10" s="19" t="n">
        <v>1225</v>
      </c>
      <c r="E10" s="18" t="n">
        <v>61.51139556</v>
      </c>
      <c r="F10" s="20" t="n">
        <v>1.84658172</v>
      </c>
      <c r="G10" s="18" t="n">
        <v>31.8744263</v>
      </c>
      <c r="H10" s="20" t="n">
        <v>1.79526546</v>
      </c>
      <c r="I10" s="18" t="s">
        <v>349</v>
      </c>
      <c r="J10" s="20" t="s">
        <v>349</v>
      </c>
      <c r="K10" s="18" t="n">
        <v>0.29357711</v>
      </c>
      <c r="L10" s="20" t="n">
        <v>0.2230175</v>
      </c>
      <c r="M10" s="18" t="n">
        <v>0</v>
      </c>
      <c r="N10" s="20" t="n">
        <v>0</v>
      </c>
      <c r="O10" s="18" t="n">
        <v>0</v>
      </c>
      <c r="P10" s="20" t="n">
        <v>0</v>
      </c>
      <c r="Q10" s="18" t="n">
        <v>6.32060103</v>
      </c>
      <c r="R10" s="20" t="n">
        <v>0.99292708</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(3008.0/B12*100)</f>
        <v/>
      </c>
      <c r="D12" s="19" t="n">
        <v>414</v>
      </c>
      <c r="E12" s="18" t="n">
        <v>62.25967652</v>
      </c>
      <c r="F12" s="20" t="n">
        <v>2.83556641</v>
      </c>
      <c r="G12" s="18" t="n">
        <v>28.74760307</v>
      </c>
      <c r="H12" s="20" t="n">
        <v>2.73052772</v>
      </c>
      <c r="I12" s="18" t="s">
        <v>349</v>
      </c>
      <c r="J12" s="20" t="s">
        <v>349</v>
      </c>
      <c r="K12" s="18" t="n">
        <v>0.46777851</v>
      </c>
      <c r="L12" s="20" t="n">
        <v>0.33579623</v>
      </c>
      <c r="M12" s="18" t="n">
        <v>0</v>
      </c>
      <c r="N12" s="20" t="n">
        <v>0</v>
      </c>
      <c r="O12" s="18" t="n">
        <v>0</v>
      </c>
      <c r="P12" s="20" t="n">
        <v>0</v>
      </c>
      <c r="Q12" s="18" t="n">
        <v>8.524941910000001</v>
      </c>
      <c r="R12" s="20" t="n">
        <v>1.86776588</v>
      </c>
    </row>
    <row r="13" spans="1:18">
      <c r="A13" s="15" t="s">
        <v>355</v>
      </c>
      <c r="B13" s="17" t="n">
        <v>3602</v>
      </c>
      <c r="C13" s="18">
        <f>(3184.0/B13*100)</f>
        <v/>
      </c>
      <c r="D13" s="19" t="n">
        <v>418</v>
      </c>
      <c r="E13" s="18" t="n">
        <v>61.08043609</v>
      </c>
      <c r="F13" s="20" t="n">
        <v>3.04278785</v>
      </c>
      <c r="G13" s="18" t="n">
        <v>28.33570861</v>
      </c>
      <c r="H13" s="20" t="n">
        <v>2.86408064</v>
      </c>
      <c r="I13" s="18" t="s">
        <v>349</v>
      </c>
      <c r="J13" s="20" t="s">
        <v>349</v>
      </c>
      <c r="K13" s="18" t="n">
        <v>1.02165387</v>
      </c>
      <c r="L13" s="20" t="n">
        <v>0.60206034</v>
      </c>
      <c r="M13" s="18" t="n">
        <v>0</v>
      </c>
      <c r="N13" s="20" t="n">
        <v>0</v>
      </c>
      <c r="O13" s="18" t="n">
        <v>0</v>
      </c>
      <c r="P13" s="20" t="n">
        <v>0</v>
      </c>
      <c r="Q13" s="18" t="n">
        <v>9.56220143</v>
      </c>
      <c r="R13" s="20" t="n">
        <v>1.6451767</v>
      </c>
    </row>
    <row r="14" spans="1:18">
      <c r="A14" s="15" t="s">
        <v>356</v>
      </c>
      <c r="B14" s="17" t="n">
        <v>2788</v>
      </c>
      <c r="C14" s="18">
        <f>(2454.0/B14*100)</f>
        <v/>
      </c>
      <c r="D14" s="19" t="n">
        <v>334</v>
      </c>
      <c r="E14" s="18" t="n">
        <v>65.11141739</v>
      </c>
      <c r="F14" s="20" t="n">
        <v>2.72781648</v>
      </c>
      <c r="G14" s="18" t="n">
        <v>29.38948807</v>
      </c>
      <c r="H14" s="20" t="n">
        <v>2.72482956</v>
      </c>
      <c r="I14" s="18" t="s">
        <v>349</v>
      </c>
      <c r="J14" s="20" t="s">
        <v>349</v>
      </c>
      <c r="K14" s="18" t="n">
        <v>0.64332292</v>
      </c>
      <c r="L14" s="20" t="n">
        <v>0.64203408</v>
      </c>
      <c r="M14" s="18" t="n">
        <v>0</v>
      </c>
      <c r="N14" s="20" t="n">
        <v>0</v>
      </c>
      <c r="O14" s="18" t="n">
        <v>0</v>
      </c>
      <c r="P14" s="20" t="n">
        <v>0</v>
      </c>
      <c r="Q14" s="18" t="n">
        <v>4.85577161</v>
      </c>
      <c r="R14" s="20" t="n">
        <v>1.06289521</v>
      </c>
    </row>
    <row r="15" spans="1:18">
      <c r="A15" s="15" t="s">
        <v>357</v>
      </c>
      <c r="B15" s="17" t="n">
        <v>2863</v>
      </c>
      <c r="C15" s="18">
        <f>(2514.0/B15*100)</f>
        <v/>
      </c>
      <c r="D15" s="19" t="n">
        <v>349</v>
      </c>
      <c r="E15" s="18" t="n">
        <v>52.51316952</v>
      </c>
      <c r="F15" s="20" t="n">
        <v>2.66611558</v>
      </c>
      <c r="G15" s="18" t="n">
        <v>30.94695571</v>
      </c>
      <c r="H15" s="20" t="n">
        <v>2.52616098</v>
      </c>
      <c r="I15" s="18" t="s">
        <v>349</v>
      </c>
      <c r="J15" s="20" t="s">
        <v>349</v>
      </c>
      <c r="K15" s="18" t="n">
        <v>0.87769944</v>
      </c>
      <c r="L15" s="20" t="n">
        <v>0.48696007</v>
      </c>
      <c r="M15" s="18" t="n">
        <v>0</v>
      </c>
      <c r="N15" s="20" t="n">
        <v>0</v>
      </c>
      <c r="O15" s="18" t="n">
        <v>0</v>
      </c>
      <c r="P15" s="20" t="n">
        <v>0</v>
      </c>
      <c r="Q15" s="18" t="n">
        <v>15.66217532</v>
      </c>
      <c r="R15" s="20" t="n">
        <v>1.79420142</v>
      </c>
    </row>
    <row r="16" spans="1:18">
      <c r="A16" s="15" t="s">
        <v>358</v>
      </c>
      <c r="B16" s="17" t="n">
        <v>3111</v>
      </c>
      <c r="C16" s="18">
        <f>(2737.0/B16*100)</f>
        <v/>
      </c>
      <c r="D16" s="19" t="n">
        <v>374</v>
      </c>
      <c r="E16" s="18" t="n">
        <v>55.53577761</v>
      </c>
      <c r="F16" s="20" t="n">
        <v>2.37418741</v>
      </c>
      <c r="G16" s="18" t="n">
        <v>26.82128002</v>
      </c>
      <c r="H16" s="20" t="n">
        <v>2.07068862</v>
      </c>
      <c r="I16" s="18" t="s">
        <v>349</v>
      </c>
      <c r="J16" s="20" t="s">
        <v>349</v>
      </c>
      <c r="K16" s="18" t="n">
        <v>0.54940387</v>
      </c>
      <c r="L16" s="20" t="n">
        <v>0.38474781</v>
      </c>
      <c r="M16" s="18" t="n">
        <v>0</v>
      </c>
      <c r="N16" s="20" t="n">
        <v>0</v>
      </c>
      <c r="O16" s="18" t="n">
        <v>0</v>
      </c>
      <c r="P16" s="20" t="n">
        <v>0</v>
      </c>
      <c r="Q16" s="18" t="n">
        <v>17.0935385</v>
      </c>
      <c r="R16" s="20" t="n">
        <v>1.94575061</v>
      </c>
    </row>
    <row r="17" spans="1:18">
      <c r="A17" s="15" t="s">
        <v>359</v>
      </c>
      <c r="B17" s="17" t="n">
        <v>3197</v>
      </c>
      <c r="C17" s="18">
        <f>(2793.0/B17*100)</f>
        <v/>
      </c>
      <c r="D17" s="19" t="n">
        <v>404</v>
      </c>
      <c r="E17" s="18" t="n">
        <v>52.88672715</v>
      </c>
      <c r="F17" s="20" t="n">
        <v>2.47828811</v>
      </c>
      <c r="G17" s="18" t="n">
        <v>33.25867477</v>
      </c>
      <c r="H17" s="20" t="n">
        <v>2.34858895</v>
      </c>
      <c r="I17" s="18" t="s">
        <v>349</v>
      </c>
      <c r="J17" s="20" t="s">
        <v>349</v>
      </c>
      <c r="K17" s="18" t="n">
        <v>0.71946482</v>
      </c>
      <c r="L17" s="20" t="n">
        <v>0.41868716</v>
      </c>
      <c r="M17" s="18" t="n">
        <v>0</v>
      </c>
      <c r="N17" s="20" t="n">
        <v>0</v>
      </c>
      <c r="O17" s="18" t="n">
        <v>0</v>
      </c>
      <c r="P17" s="20" t="n">
        <v>0</v>
      </c>
      <c r="Q17" s="18" t="n">
        <v>13.13513327</v>
      </c>
      <c r="R17" s="20" t="n">
        <v>1.95537192</v>
      </c>
    </row>
    <row r="18" spans="1:18">
      <c r="A18" s="15" t="s">
        <v>360</v>
      </c>
      <c r="B18" s="17" t="n">
        <v>2706</v>
      </c>
      <c r="C18" s="18">
        <f>(2393.0/B18*100)</f>
        <v/>
      </c>
      <c r="D18" s="19" t="n">
        <v>313</v>
      </c>
      <c r="E18" s="18" t="n">
        <v>74.86270901</v>
      </c>
      <c r="F18" s="20" t="n">
        <v>2.99314156</v>
      </c>
      <c r="G18" s="18" t="n">
        <v>9.51416212</v>
      </c>
      <c r="H18" s="20" t="n">
        <v>1.71000771</v>
      </c>
      <c r="I18" s="18" t="s">
        <v>349</v>
      </c>
      <c r="J18" s="20" t="s">
        <v>349</v>
      </c>
      <c r="K18" s="18" t="n">
        <v>1.25035662</v>
      </c>
      <c r="L18" s="20" t="n">
        <v>0.93461001</v>
      </c>
      <c r="M18" s="18" t="n">
        <v>0</v>
      </c>
      <c r="N18" s="20" t="n">
        <v>0</v>
      </c>
      <c r="O18" s="18" t="n">
        <v>0</v>
      </c>
      <c r="P18" s="20" t="n">
        <v>0</v>
      </c>
      <c r="Q18" s="18" t="n">
        <v>14.37277225</v>
      </c>
      <c r="R18" s="20" t="n">
        <v>2.40647049</v>
      </c>
    </row>
    <row r="19" spans="1:18">
      <c r="A19" s="15" t="s">
        <v>361</v>
      </c>
      <c r="B19" s="17" t="n">
        <v>2850</v>
      </c>
      <c r="C19" s="18">
        <f>(2512.0/B19*100)</f>
        <v/>
      </c>
      <c r="D19" s="19" t="n">
        <v>338</v>
      </c>
      <c r="E19" s="18" t="n">
        <v>72.08309011</v>
      </c>
      <c r="F19" s="20" t="n">
        <v>2.57620523</v>
      </c>
      <c r="G19" s="18" t="n">
        <v>13.4590805</v>
      </c>
      <c r="H19" s="20" t="n">
        <v>1.96799219</v>
      </c>
      <c r="I19" s="18" t="s">
        <v>349</v>
      </c>
      <c r="J19" s="20" t="s">
        <v>349</v>
      </c>
      <c r="K19" s="18" t="n">
        <v>0</v>
      </c>
      <c r="L19" s="20" t="n">
        <v>0</v>
      </c>
      <c r="M19" s="18" t="n">
        <v>0</v>
      </c>
      <c r="N19" s="20" t="n">
        <v>0</v>
      </c>
      <c r="O19" s="18" t="n">
        <v>0</v>
      </c>
      <c r="P19" s="20" t="n">
        <v>0</v>
      </c>
      <c r="Q19" s="18" t="n">
        <v>14.45782939</v>
      </c>
      <c r="R19" s="20" t="n">
        <v>2.19286703</v>
      </c>
    </row>
    <row r="20" spans="1:18">
      <c r="A20" s="15" t="s">
        <v>362</v>
      </c>
      <c r="B20" s="17" t="n">
        <v>1741</v>
      </c>
      <c r="C20" s="18">
        <f>(1523.0/B20*100)</f>
        <v/>
      </c>
      <c r="D20" s="19" t="n">
        <v>218</v>
      </c>
      <c r="E20" s="18" t="n">
        <v>65.66177197</v>
      </c>
      <c r="F20" s="20" t="n">
        <v>3.06279213</v>
      </c>
      <c r="G20" s="18" t="n">
        <v>22.07652008</v>
      </c>
      <c r="H20" s="20" t="n">
        <v>3.03715245</v>
      </c>
      <c r="I20" s="18" t="s">
        <v>349</v>
      </c>
      <c r="J20" s="20" t="s">
        <v>349</v>
      </c>
      <c r="K20" s="18" t="n">
        <v>0.5317137199999999</v>
      </c>
      <c r="L20" s="20" t="n">
        <v>0.52071109</v>
      </c>
      <c r="M20" s="18" t="n">
        <v>0</v>
      </c>
      <c r="N20" s="20" t="n">
        <v>0</v>
      </c>
      <c r="O20" s="18" t="n">
        <v>0</v>
      </c>
      <c r="P20" s="20" t="n">
        <v>0</v>
      </c>
      <c r="Q20" s="18" t="n">
        <v>11.72999424</v>
      </c>
      <c r="R20" s="20" t="n">
        <v>2.21848335</v>
      </c>
    </row>
    <row r="21" spans="1:18">
      <c r="A21" s="15" t="s">
        <v>363</v>
      </c>
      <c r="B21" s="17" t="n">
        <v>2833</v>
      </c>
      <c r="C21" s="18">
        <f>(2380.0/B21*100)</f>
        <v/>
      </c>
      <c r="D21" s="19" t="n">
        <v>453</v>
      </c>
      <c r="E21" s="18" t="n">
        <v>58.01533163</v>
      </c>
      <c r="F21" s="20" t="n">
        <v>2.22491193</v>
      </c>
      <c r="G21" s="18" t="n">
        <v>35.01051499</v>
      </c>
      <c r="H21" s="20" t="n">
        <v>2.34458721</v>
      </c>
      <c r="I21" s="18" t="s">
        <v>349</v>
      </c>
      <c r="J21" s="20" t="s">
        <v>349</v>
      </c>
      <c r="K21" s="18" t="n">
        <v>0.16175137</v>
      </c>
      <c r="L21" s="20" t="n">
        <v>0.16098564</v>
      </c>
      <c r="M21" s="18" t="n">
        <v>0</v>
      </c>
      <c r="N21" s="20" t="n">
        <v>0</v>
      </c>
      <c r="O21" s="18" t="n">
        <v>0</v>
      </c>
      <c r="P21" s="20" t="n">
        <v>0</v>
      </c>
      <c r="Q21" s="18" t="n">
        <v>6.81240201</v>
      </c>
      <c r="R21" s="20" t="n">
        <v>1.09055155</v>
      </c>
    </row>
    <row r="22" spans="1:18">
      <c r="A22" s="15" t="s">
        <v>364</v>
      </c>
      <c r="B22" s="17" t="n">
        <v>3667</v>
      </c>
      <c r="C22" s="18">
        <f>(3192.0/B22*100)</f>
        <v/>
      </c>
      <c r="D22" s="19" t="n">
        <v>475</v>
      </c>
      <c r="E22" s="18" t="n">
        <v>64.47789693999999</v>
      </c>
      <c r="F22" s="20" t="n">
        <v>2.20197146</v>
      </c>
      <c r="G22" s="18" t="n">
        <v>17.09338611</v>
      </c>
      <c r="H22" s="20" t="n">
        <v>1.80961031</v>
      </c>
      <c r="I22" s="18" t="s">
        <v>349</v>
      </c>
      <c r="J22" s="20" t="s">
        <v>349</v>
      </c>
      <c r="K22" s="18" t="n">
        <v>1.67893519</v>
      </c>
      <c r="L22" s="20" t="n">
        <v>0.49984277</v>
      </c>
      <c r="M22" s="18" t="n">
        <v>0</v>
      </c>
      <c r="N22" s="20" t="n">
        <v>0</v>
      </c>
      <c r="O22" s="18" t="n">
        <v>0</v>
      </c>
      <c r="P22" s="20" t="n">
        <v>0</v>
      </c>
      <c r="Q22" s="18" t="n">
        <v>16.74978176</v>
      </c>
      <c r="R22" s="20" t="n">
        <v>1.74495937</v>
      </c>
    </row>
    <row r="23" spans="1:18">
      <c r="A23" s="15" t="s">
        <v>365</v>
      </c>
      <c r="B23" s="17" t="n">
        <v>5792</v>
      </c>
      <c r="C23" s="18">
        <f>(5080.0/B23*100)</f>
        <v/>
      </c>
      <c r="D23" s="19" t="n">
        <v>712</v>
      </c>
      <c r="E23" s="18" t="n">
        <v>68.90176545</v>
      </c>
      <c r="F23" s="20" t="n">
        <v>2.51320421</v>
      </c>
      <c r="G23" s="18" t="n">
        <v>16.77712348</v>
      </c>
      <c r="H23" s="20" t="n">
        <v>2.32082491</v>
      </c>
      <c r="I23" s="18" t="s">
        <v>349</v>
      </c>
      <c r="J23" s="20" t="s">
        <v>349</v>
      </c>
      <c r="K23" s="18" t="n">
        <v>1.17991668</v>
      </c>
      <c r="L23" s="20" t="n">
        <v>0.60940017</v>
      </c>
      <c r="M23" s="18" t="n">
        <v>0</v>
      </c>
      <c r="N23" s="20" t="n">
        <v>0</v>
      </c>
      <c r="O23" s="18" t="n">
        <v>0</v>
      </c>
      <c r="P23" s="20" t="n">
        <v>0</v>
      </c>
      <c r="Q23" s="18" t="n">
        <v>13.14119439</v>
      </c>
      <c r="R23" s="20" t="n">
        <v>1.92007395</v>
      </c>
    </row>
    <row r="24" spans="1:18">
      <c r="A24" s="15" t="s">
        <v>366</v>
      </c>
      <c r="B24" s="17" t="n">
        <v>3309</v>
      </c>
      <c r="C24" s="18">
        <f>(2932.0/B24*100)</f>
        <v/>
      </c>
      <c r="D24" s="19" t="n">
        <v>377</v>
      </c>
      <c r="E24" s="18" t="n">
        <v>58.39044338</v>
      </c>
      <c r="F24" s="20" t="n">
        <v>2.84281768</v>
      </c>
      <c r="G24" s="18" t="n">
        <v>25.70725124</v>
      </c>
      <c r="H24" s="20" t="n">
        <v>2.414198</v>
      </c>
      <c r="I24" s="18" t="s">
        <v>349</v>
      </c>
      <c r="J24" s="20" t="s">
        <v>349</v>
      </c>
      <c r="K24" s="18" t="n">
        <v>0.24366253</v>
      </c>
      <c r="L24" s="20" t="n">
        <v>0.24283132</v>
      </c>
      <c r="M24" s="18" t="n">
        <v>0</v>
      </c>
      <c r="N24" s="20" t="n">
        <v>0</v>
      </c>
      <c r="O24" s="18" t="n">
        <v>0</v>
      </c>
      <c r="P24" s="20" t="n">
        <v>0</v>
      </c>
      <c r="Q24" s="18" t="n">
        <v>15.65864285</v>
      </c>
      <c r="R24" s="20" t="n">
        <v>1.86981182</v>
      </c>
    </row>
    <row r="25" spans="1:18">
      <c r="A25" s="15" t="s">
        <v>367</v>
      </c>
      <c r="B25" s="17" t="n">
        <v>2669</v>
      </c>
      <c r="C25" s="18">
        <f>(2361.0/B25*100)</f>
        <v/>
      </c>
      <c r="D25" s="19" t="n">
        <v>308</v>
      </c>
      <c r="E25" s="18" t="n">
        <v>60.01648914</v>
      </c>
      <c r="F25" s="20" t="n">
        <v>2.74293364</v>
      </c>
      <c r="G25" s="18" t="n">
        <v>30.3723561</v>
      </c>
      <c r="H25" s="20" t="n">
        <v>2.89451429</v>
      </c>
      <c r="I25" s="18" t="s">
        <v>349</v>
      </c>
      <c r="J25" s="20" t="s">
        <v>349</v>
      </c>
      <c r="K25" s="18" t="n">
        <v>0</v>
      </c>
      <c r="L25" s="20" t="n">
        <v>0</v>
      </c>
      <c r="M25" s="18" t="n">
        <v>0</v>
      </c>
      <c r="N25" s="20" t="n">
        <v>0</v>
      </c>
      <c r="O25" s="18" t="n">
        <v>0</v>
      </c>
      <c r="P25" s="20" t="n">
        <v>0</v>
      </c>
      <c r="Q25" s="18" t="n">
        <v>9.61115476</v>
      </c>
      <c r="R25" s="20" t="n">
        <v>1.90493375</v>
      </c>
    </row>
    <row r="26" spans="1:18">
      <c r="A26" s="15" t="s">
        <v>368</v>
      </c>
      <c r="B26" s="17" t="n">
        <v>2419</v>
      </c>
      <c r="C26" s="18">
        <f>(2107.0/B26*100)</f>
        <v/>
      </c>
      <c r="D26" s="19" t="n">
        <v>312</v>
      </c>
      <c r="E26" s="18" t="n">
        <v>73.70700648</v>
      </c>
      <c r="F26" s="20" t="n">
        <v>2.29648382</v>
      </c>
      <c r="G26" s="18" t="n">
        <v>18.35709389</v>
      </c>
      <c r="H26" s="20" t="n">
        <v>2.61079051</v>
      </c>
      <c r="I26" s="18" t="s">
        <v>349</v>
      </c>
      <c r="J26" s="20" t="s">
        <v>349</v>
      </c>
      <c r="K26" s="18" t="n">
        <v>0.24493617</v>
      </c>
      <c r="L26" s="20" t="n">
        <v>0.2438561</v>
      </c>
      <c r="M26" s="18" t="n">
        <v>0</v>
      </c>
      <c r="N26" s="20" t="n">
        <v>0</v>
      </c>
      <c r="O26" s="18" t="n">
        <v>0</v>
      </c>
      <c r="P26" s="20" t="n">
        <v>0</v>
      </c>
      <c r="Q26" s="18" t="n">
        <v>7.69096346</v>
      </c>
      <c r="R26" s="20" t="n">
        <v>1.51175233</v>
      </c>
    </row>
    <row r="27" spans="1:18">
      <c r="A27" s="15" t="s">
        <v>369</v>
      </c>
      <c r="B27" s="17" t="n">
        <v>2683</v>
      </c>
      <c r="C27" s="18">
        <f>(2356.0/B27*100)</f>
        <v/>
      </c>
      <c r="D27" s="19" t="n">
        <v>327</v>
      </c>
      <c r="E27" s="18" t="n">
        <v>56.08221017</v>
      </c>
      <c r="F27" s="20" t="n">
        <v>3.03467637</v>
      </c>
      <c r="G27" s="18" t="n">
        <v>29.77339602</v>
      </c>
      <c r="H27" s="20" t="n">
        <v>2.59624507</v>
      </c>
      <c r="I27" s="18" t="s">
        <v>349</v>
      </c>
      <c r="J27" s="20" t="s">
        <v>349</v>
      </c>
      <c r="K27" s="18" t="n">
        <v>0.60847319</v>
      </c>
      <c r="L27" s="20" t="n">
        <v>0.43872727</v>
      </c>
      <c r="M27" s="18" t="n">
        <v>0</v>
      </c>
      <c r="N27" s="20" t="n">
        <v>0</v>
      </c>
      <c r="O27" s="18" t="n">
        <v>0</v>
      </c>
      <c r="P27" s="20" t="n">
        <v>0</v>
      </c>
      <c r="Q27" s="18" t="n">
        <v>13.53592062</v>
      </c>
      <c r="R27" s="20" t="n">
        <v>1.97539564</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(2375.0/B29*100)</f>
        <v/>
      </c>
      <c r="D29" s="19" t="n">
        <v>325</v>
      </c>
      <c r="E29" s="18" t="n">
        <v>52.60576116</v>
      </c>
      <c r="F29" s="20" t="n">
        <v>2.65891709</v>
      </c>
      <c r="G29" s="18" t="n">
        <v>36.11228639</v>
      </c>
      <c r="H29" s="20" t="n">
        <v>2.72253649</v>
      </c>
      <c r="I29" s="18" t="s">
        <v>349</v>
      </c>
      <c r="J29" s="20" t="s">
        <v>349</v>
      </c>
      <c r="K29" s="18" t="n">
        <v>0.91563591</v>
      </c>
      <c r="L29" s="20" t="n">
        <v>0.51256934</v>
      </c>
      <c r="M29" s="18" t="n">
        <v>0</v>
      </c>
      <c r="N29" s="20" t="n">
        <v>0</v>
      </c>
      <c r="O29" s="18" t="n">
        <v>0</v>
      </c>
      <c r="P29" s="20" t="n">
        <v>0</v>
      </c>
      <c r="Q29" s="18" t="n">
        <v>10.36631653</v>
      </c>
      <c r="R29" s="20" t="n">
        <v>1.77621265</v>
      </c>
    </row>
    <row r="30" spans="1:18">
      <c r="A30" s="15" t="s">
        <v>372</v>
      </c>
      <c r="B30" s="17" t="n">
        <v>2257</v>
      </c>
      <c r="C30" s="18">
        <f>(1977.0/B30*100)</f>
        <v/>
      </c>
      <c r="D30" s="19" t="n">
        <v>280</v>
      </c>
      <c r="E30" s="18" t="n">
        <v>55.04877364</v>
      </c>
      <c r="F30" s="20" t="n">
        <v>2.87743923</v>
      </c>
      <c r="G30" s="18" t="n">
        <v>28.31860947</v>
      </c>
      <c r="H30" s="20" t="n">
        <v>2.39318719</v>
      </c>
      <c r="I30" s="18" t="s">
        <v>349</v>
      </c>
      <c r="J30" s="20" t="s">
        <v>349</v>
      </c>
      <c r="K30" s="18" t="n">
        <v>1.17512183</v>
      </c>
      <c r="L30" s="20" t="n">
        <v>0.64350086</v>
      </c>
      <c r="M30" s="18" t="n">
        <v>0</v>
      </c>
      <c r="N30" s="20" t="n">
        <v>0</v>
      </c>
      <c r="O30" s="18" t="n">
        <v>0</v>
      </c>
      <c r="P30" s="20" t="n">
        <v>0</v>
      </c>
      <c r="Q30" s="18" t="n">
        <v>15.45749506</v>
      </c>
      <c r="R30" s="20" t="n">
        <v>2.12526911</v>
      </c>
    </row>
    <row r="31" spans="1:18">
      <c r="A31" s="15" t="s">
        <v>373</v>
      </c>
      <c r="B31" s="17" t="n">
        <v>2706</v>
      </c>
      <c r="C31" s="18">
        <f>(2361.0/B31*100)</f>
        <v/>
      </c>
      <c r="D31" s="19" t="n">
        <v>345</v>
      </c>
      <c r="E31" s="18" t="n">
        <v>56.97865475</v>
      </c>
      <c r="F31" s="20" t="n">
        <v>2.97943751</v>
      </c>
      <c r="G31" s="18" t="n">
        <v>24.20111052</v>
      </c>
      <c r="H31" s="20" t="n">
        <v>2.5982459</v>
      </c>
      <c r="I31" s="18" t="s">
        <v>349</v>
      </c>
      <c r="J31" s="20" t="s">
        <v>349</v>
      </c>
      <c r="K31" s="18" t="n">
        <v>0.8870184</v>
      </c>
      <c r="L31" s="20" t="n">
        <v>0.51399442</v>
      </c>
      <c r="M31" s="18" t="n">
        <v>0</v>
      </c>
      <c r="N31" s="20" t="n">
        <v>0</v>
      </c>
      <c r="O31" s="18" t="n">
        <v>0</v>
      </c>
      <c r="P31" s="20" t="n">
        <v>0</v>
      </c>
      <c r="Q31" s="18" t="n">
        <v>17.93321633</v>
      </c>
      <c r="R31" s="20" t="n">
        <v>2.1539714</v>
      </c>
    </row>
    <row r="32" spans="1:18">
      <c r="A32" s="15" t="s">
        <v>374</v>
      </c>
      <c r="B32" s="17" t="n">
        <v>2209</v>
      </c>
      <c r="C32" s="18">
        <f>(1833.0/B32*100)</f>
        <v/>
      </c>
      <c r="D32" s="19" t="n">
        <v>376</v>
      </c>
      <c r="E32" s="18" t="n">
        <v>62.54674883</v>
      </c>
      <c r="F32" s="20" t="n">
        <v>2.55661392</v>
      </c>
      <c r="G32" s="18" t="n">
        <v>23.33934198</v>
      </c>
      <c r="H32" s="20" t="n">
        <v>2.01053104</v>
      </c>
      <c r="I32" s="18" t="s">
        <v>349</v>
      </c>
      <c r="J32" s="20" t="s">
        <v>349</v>
      </c>
      <c r="K32" s="18" t="n">
        <v>0.5594409</v>
      </c>
      <c r="L32" s="20" t="n">
        <v>0.38978815</v>
      </c>
      <c r="M32" s="18" t="n">
        <v>0</v>
      </c>
      <c r="N32" s="20" t="n">
        <v>0</v>
      </c>
      <c r="O32" s="18" t="n">
        <v>0</v>
      </c>
      <c r="P32" s="20" t="n">
        <v>0</v>
      </c>
      <c r="Q32" s="18" t="n">
        <v>13.55446829</v>
      </c>
      <c r="R32" s="20" t="n">
        <v>1.95792904</v>
      </c>
    </row>
    <row r="33" spans="1:18">
      <c r="A33" s="15" t="s">
        <v>375</v>
      </c>
      <c r="B33" s="17" t="n">
        <v>3651</v>
      </c>
      <c r="C33" s="18">
        <f>(3205.0/B33*100)</f>
        <v/>
      </c>
      <c r="D33" s="19" t="n">
        <v>446</v>
      </c>
      <c r="E33" s="18" t="n">
        <v>59.61079755</v>
      </c>
      <c r="F33" s="20" t="n">
        <v>2.40424332</v>
      </c>
      <c r="G33" s="18" t="n">
        <v>23.83427395</v>
      </c>
      <c r="H33" s="20" t="n">
        <v>2.22885456</v>
      </c>
      <c r="I33" s="18" t="s">
        <v>349</v>
      </c>
      <c r="J33" s="20" t="s">
        <v>349</v>
      </c>
      <c r="K33" s="18" t="n">
        <v>1.28438365</v>
      </c>
      <c r="L33" s="20" t="n">
        <v>0.69152176</v>
      </c>
      <c r="M33" s="18" t="n">
        <v>0</v>
      </c>
      <c r="N33" s="20" t="n">
        <v>0</v>
      </c>
      <c r="O33" s="18" t="n">
        <v>0</v>
      </c>
      <c r="P33" s="20" t="n">
        <v>0</v>
      </c>
      <c r="Q33" s="18" t="n">
        <v>15.27054485</v>
      </c>
      <c r="R33" s="20" t="n">
        <v>2.28683801</v>
      </c>
    </row>
    <row r="34" spans="1:18">
      <c r="A34" s="15" t="s">
        <v>376</v>
      </c>
      <c r="B34" s="17" t="n">
        <v>3035</v>
      </c>
      <c r="C34" s="18">
        <f>(2644.0/B34*100)</f>
        <v/>
      </c>
      <c r="D34" s="19" t="n">
        <v>391</v>
      </c>
      <c r="E34" s="18" t="n">
        <v>59.15235099</v>
      </c>
      <c r="F34" s="20" t="n">
        <v>2.50125752</v>
      </c>
      <c r="G34" s="18" t="n">
        <v>34.64878977</v>
      </c>
      <c r="H34" s="20" t="n">
        <v>2.44568008</v>
      </c>
      <c r="I34" s="18" t="s">
        <v>349</v>
      </c>
      <c r="J34" s="20" t="s">
        <v>349</v>
      </c>
      <c r="K34" s="18" t="n">
        <v>0.76902132</v>
      </c>
      <c r="L34" s="20" t="n">
        <v>0.56869135</v>
      </c>
      <c r="M34" s="18" t="n">
        <v>0</v>
      </c>
      <c r="N34" s="20" t="n">
        <v>0</v>
      </c>
      <c r="O34" s="18" t="n">
        <v>0</v>
      </c>
      <c r="P34" s="20" t="n">
        <v>0</v>
      </c>
      <c r="Q34" s="18" t="n">
        <v>5.42983792</v>
      </c>
      <c r="R34" s="20" t="n">
        <v>1.093719</v>
      </c>
    </row>
    <row r="35" spans="1:18">
      <c r="A35" s="15" t="s">
        <v>377</v>
      </c>
      <c r="B35" s="17" t="n">
        <v>2901</v>
      </c>
      <c r="C35" s="18">
        <f>(2532.0/B35*100)</f>
        <v/>
      </c>
      <c r="D35" s="19" t="n">
        <v>369</v>
      </c>
      <c r="E35" s="18" t="n">
        <v>56.85731164</v>
      </c>
      <c r="F35" s="20" t="n">
        <v>3.59522016</v>
      </c>
      <c r="G35" s="18" t="n">
        <v>29.39265924</v>
      </c>
      <c r="H35" s="20" t="n">
        <v>3.10640141</v>
      </c>
      <c r="I35" s="18" t="s">
        <v>349</v>
      </c>
      <c r="J35" s="20" t="s">
        <v>349</v>
      </c>
      <c r="K35" s="18" t="n">
        <v>0</v>
      </c>
      <c r="L35" s="20" t="n">
        <v>0</v>
      </c>
      <c r="M35" s="18" t="n">
        <v>0</v>
      </c>
      <c r="N35" s="20" t="n">
        <v>0</v>
      </c>
      <c r="O35" s="18" t="n">
        <v>0</v>
      </c>
      <c r="P35" s="20" t="n">
        <v>0</v>
      </c>
      <c r="Q35" s="18" t="n">
        <v>13.75002912</v>
      </c>
      <c r="R35" s="20" t="n">
        <v>2.25231639</v>
      </c>
    </row>
    <row r="36" spans="1:18">
      <c r="A36" s="15" t="s">
        <v>378</v>
      </c>
      <c r="B36" s="17" t="n">
        <v>3404</v>
      </c>
      <c r="C36" s="18">
        <f>(2991.0/B36*100)</f>
        <v/>
      </c>
      <c r="D36" s="19" t="n">
        <v>413</v>
      </c>
      <c r="E36" s="18" t="n">
        <v>66.89726736999999</v>
      </c>
      <c r="F36" s="20" t="n">
        <v>2.36196198</v>
      </c>
      <c r="G36" s="18" t="n">
        <v>21.64810484</v>
      </c>
      <c r="H36" s="20" t="n">
        <v>2.15328935</v>
      </c>
      <c r="I36" s="18" t="s">
        <v>349</v>
      </c>
      <c r="J36" s="20" t="s">
        <v>349</v>
      </c>
      <c r="K36" s="18" t="n">
        <v>0.6190428</v>
      </c>
      <c r="L36" s="20" t="n">
        <v>0.44071664</v>
      </c>
      <c r="M36" s="18" t="n">
        <v>0</v>
      </c>
      <c r="N36" s="20" t="n">
        <v>0</v>
      </c>
      <c r="O36" s="18" t="n">
        <v>0</v>
      </c>
      <c r="P36" s="20" t="n">
        <v>0</v>
      </c>
      <c r="Q36" s="18" t="n">
        <v>10.83558499</v>
      </c>
      <c r="R36" s="20" t="n">
        <v>1.83399759</v>
      </c>
    </row>
    <row r="37" spans="1:18">
      <c r="A37" s="15" t="s">
        <v>379</v>
      </c>
      <c r="B37" s="17" t="n">
        <v>2731</v>
      </c>
      <c r="C37" s="18">
        <f>(2399.0/B37*100)</f>
        <v/>
      </c>
      <c r="D37" s="19" t="n">
        <v>332</v>
      </c>
      <c r="E37" s="18" t="n">
        <v>51.78797074</v>
      </c>
      <c r="F37" s="20" t="n">
        <v>2.76485113</v>
      </c>
      <c r="G37" s="18" t="n">
        <v>21.35128751</v>
      </c>
      <c r="H37" s="20" t="n">
        <v>2.70853852</v>
      </c>
      <c r="I37" s="18" t="s">
        <v>349</v>
      </c>
      <c r="J37" s="20" t="s">
        <v>349</v>
      </c>
      <c r="K37" s="18" t="n">
        <v>2.77929445</v>
      </c>
      <c r="L37" s="20" t="n">
        <v>0.8848978199999999</v>
      </c>
      <c r="M37" s="18" t="n">
        <v>0</v>
      </c>
      <c r="N37" s="20" t="n">
        <v>0</v>
      </c>
      <c r="O37" s="18" t="n">
        <v>0</v>
      </c>
      <c r="P37" s="20" t="n">
        <v>0</v>
      </c>
      <c r="Q37" s="18" t="n">
        <v>24.08144731</v>
      </c>
      <c r="R37" s="20" t="n">
        <v>2.75508637</v>
      </c>
    </row>
    <row r="38" spans="1:18">
      <c r="A38" s="15" t="s">
        <v>380</v>
      </c>
      <c r="B38" s="17" t="n">
        <v>2807</v>
      </c>
      <c r="C38" s="18">
        <f>(2357.0/B38*100)</f>
        <v/>
      </c>
      <c r="D38" s="19" t="n">
        <v>450</v>
      </c>
      <c r="E38" s="18" t="n">
        <v>53.50036748</v>
      </c>
      <c r="F38" s="20" t="n">
        <v>2.8787064</v>
      </c>
      <c r="G38" s="18" t="n">
        <v>37.49487387</v>
      </c>
      <c r="H38" s="20" t="n">
        <v>2.78864286</v>
      </c>
      <c r="I38" s="18" t="s">
        <v>349</v>
      </c>
      <c r="J38" s="20" t="s">
        <v>349</v>
      </c>
      <c r="K38" s="18" t="n">
        <v>0.23868713</v>
      </c>
      <c r="L38" s="20" t="n">
        <v>0.21149026</v>
      </c>
      <c r="M38" s="18" t="n">
        <v>0</v>
      </c>
      <c r="N38" s="20" t="n">
        <v>0</v>
      </c>
      <c r="O38" s="18" t="n">
        <v>0</v>
      </c>
      <c r="P38" s="20" t="n">
        <v>0</v>
      </c>
      <c r="Q38" s="18" t="n">
        <v>8.766071520000001</v>
      </c>
      <c r="R38" s="20" t="n">
        <v>1.46888667</v>
      </c>
    </row>
    <row r="39" spans="1:18">
      <c r="A39" s="15" t="s">
        <v>381</v>
      </c>
      <c r="B39" s="17" t="n">
        <v>2938</v>
      </c>
      <c r="C39" s="18">
        <f>(2566.0/B39*100)</f>
        <v/>
      </c>
      <c r="D39" s="19" t="n">
        <v>372</v>
      </c>
      <c r="E39" s="18" t="n">
        <v>77.07397542</v>
      </c>
      <c r="F39" s="20" t="n">
        <v>2.15715674</v>
      </c>
      <c r="G39" s="18" t="n">
        <v>3.49331907</v>
      </c>
      <c r="H39" s="20" t="n">
        <v>1.23148233</v>
      </c>
      <c r="I39" s="18" t="s">
        <v>349</v>
      </c>
      <c r="J39" s="20" t="s">
        <v>349</v>
      </c>
      <c r="K39" s="18" t="n">
        <v>0</v>
      </c>
      <c r="L39" s="20" t="n">
        <v>0</v>
      </c>
      <c r="M39" s="18" t="n">
        <v>0</v>
      </c>
      <c r="N39" s="20" t="n">
        <v>0</v>
      </c>
      <c r="O39" s="18" t="n">
        <v>0</v>
      </c>
      <c r="P39" s="20" t="n">
        <v>0</v>
      </c>
      <c r="Q39" s="18" t="n">
        <v>19.43270551</v>
      </c>
      <c r="R39" s="20" t="n">
        <v>2.07596844</v>
      </c>
    </row>
    <row r="40" spans="1:18">
      <c r="A40" s="15" t="s">
        <v>382</v>
      </c>
      <c r="B40" s="17" t="n">
        <v>6922</v>
      </c>
      <c r="C40" s="18">
        <f>(6014.0/B40*100)</f>
        <v/>
      </c>
      <c r="D40" s="19" t="n">
        <v>908</v>
      </c>
      <c r="E40" s="18" t="n">
        <v>52.29624238</v>
      </c>
      <c r="F40" s="20" t="n">
        <v>2.61376494</v>
      </c>
      <c r="G40" s="18" t="n">
        <v>34.66752992</v>
      </c>
      <c r="H40" s="20" t="n">
        <v>2.48673331</v>
      </c>
      <c r="I40" s="18" t="s">
        <v>349</v>
      </c>
      <c r="J40" s="20" t="s">
        <v>349</v>
      </c>
      <c r="K40" s="18" t="n">
        <v>0.8631311</v>
      </c>
      <c r="L40" s="20" t="n">
        <v>0.48993879</v>
      </c>
      <c r="M40" s="18" t="n">
        <v>0</v>
      </c>
      <c r="N40" s="20" t="n">
        <v>0</v>
      </c>
      <c r="O40" s="18" t="n">
        <v>0</v>
      </c>
      <c r="P40" s="20" t="n">
        <v>0</v>
      </c>
      <c r="Q40" s="18" t="n">
        <v>12.17309659</v>
      </c>
      <c r="R40" s="20" t="n">
        <v>1.81163852</v>
      </c>
    </row>
    <row r="41" spans="1:18">
      <c r="A41" s="15" t="s">
        <v>383</v>
      </c>
      <c r="B41" s="17" t="n">
        <v>2854</v>
      </c>
      <c r="C41" s="18">
        <f>(2495.0/B41*100)</f>
        <v/>
      </c>
      <c r="D41" s="19" t="n">
        <v>359</v>
      </c>
      <c r="E41" s="18" t="n">
        <v>67.8741191</v>
      </c>
      <c r="F41" s="20" t="n">
        <v>2.10801548</v>
      </c>
      <c r="G41" s="18" t="n">
        <v>27.70519855</v>
      </c>
      <c r="H41" s="20" t="n">
        <v>2.28944081</v>
      </c>
      <c r="I41" s="18" t="s">
        <v>349</v>
      </c>
      <c r="J41" s="20" t="s">
        <v>349</v>
      </c>
      <c r="K41" s="18" t="n">
        <v>0</v>
      </c>
      <c r="L41" s="20" t="n">
        <v>0</v>
      </c>
      <c r="M41" s="18" t="n">
        <v>0</v>
      </c>
      <c r="N41" s="20" t="n">
        <v>0</v>
      </c>
      <c r="O41" s="18" t="n">
        <v>0</v>
      </c>
      <c r="P41" s="20" t="n">
        <v>0</v>
      </c>
      <c r="Q41" s="18" t="n">
        <v>4.42068234</v>
      </c>
      <c r="R41" s="20" t="n">
        <v>1.14537359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(4111.0/B48*100)</f>
        <v/>
      </c>
      <c r="D48" s="19" t="n">
        <v>571</v>
      </c>
      <c r="E48" s="18" t="n">
        <v>65.43154675</v>
      </c>
      <c r="F48" s="20" t="n">
        <v>2.48194317</v>
      </c>
      <c r="G48" s="18" t="n">
        <v>30.34284944</v>
      </c>
      <c r="H48" s="20" t="n">
        <v>2.46210506</v>
      </c>
      <c r="I48" s="18" t="s">
        <v>349</v>
      </c>
      <c r="J48" s="20" t="s">
        <v>349</v>
      </c>
      <c r="K48" s="18" t="n">
        <v>0.38558326</v>
      </c>
      <c r="L48" s="20" t="n">
        <v>0.32939636</v>
      </c>
      <c r="M48" s="18" t="n">
        <v>0</v>
      </c>
      <c r="N48" s="20" t="n">
        <v>0</v>
      </c>
      <c r="O48" s="18" t="n">
        <v>0</v>
      </c>
      <c r="P48" s="20" t="n">
        <v>0</v>
      </c>
      <c r="Q48" s="18" t="n">
        <v>3.84002055</v>
      </c>
      <c r="R48" s="20" t="n">
        <v>1.00931772</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(2624.0/B52*100)</f>
        <v/>
      </c>
      <c r="D52" s="19" t="n">
        <v>389</v>
      </c>
      <c r="E52" s="18" t="n">
        <v>62.5645293</v>
      </c>
      <c r="F52" s="20" t="n">
        <v>2.7478179</v>
      </c>
      <c r="G52" s="18" t="n">
        <v>21.80931377</v>
      </c>
      <c r="H52" s="20" t="n">
        <v>2.66689275</v>
      </c>
      <c r="I52" s="18" t="s">
        <v>349</v>
      </c>
      <c r="J52" s="20" t="s">
        <v>349</v>
      </c>
      <c r="K52" s="18" t="n">
        <v>1.15019557</v>
      </c>
      <c r="L52" s="20" t="n">
        <v>0.35977722</v>
      </c>
      <c r="M52" s="18" t="n">
        <v>0</v>
      </c>
      <c r="N52" s="20" t="n">
        <v>0</v>
      </c>
      <c r="O52" s="18" t="n">
        <v>0</v>
      </c>
      <c r="P52" s="20" t="n">
        <v>0</v>
      </c>
      <c r="Q52" s="18" t="n">
        <v>14.47596136</v>
      </c>
      <c r="R52" s="20" t="n">
        <v>1.50669152</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55.01929477</v>
      </c>
      <c r="F56" s="20" t="n">
        <v>2.87823595</v>
      </c>
      <c r="G56" s="18" t="n">
        <v>42.09210322</v>
      </c>
      <c r="H56" s="20" t="n">
        <v>2.94486817</v>
      </c>
      <c r="I56" s="18" t="s">
        <v>349</v>
      </c>
      <c r="J56" s="20" t="s">
        <v>349</v>
      </c>
      <c r="K56" s="18" t="n">
        <v>0</v>
      </c>
      <c r="L56" s="20" t="n">
        <v>0</v>
      </c>
      <c r="M56" s="18" t="n">
        <v>0</v>
      </c>
      <c r="N56" s="20" t="n">
        <v>0</v>
      </c>
      <c r="O56" s="18" t="n">
        <v>0</v>
      </c>
      <c r="P56" s="20" t="n">
        <v>0</v>
      </c>
      <c r="Q56" s="18" t="n">
        <v>2.888602</v>
      </c>
      <c r="R56" s="20" t="n">
        <v>0.98813798</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(2821.0/B61*100)</f>
        <v/>
      </c>
      <c r="D61" s="19" t="n">
        <v>380</v>
      </c>
      <c r="E61" s="18" t="n">
        <v>70.40834409999999</v>
      </c>
      <c r="F61" s="20" t="n">
        <v>2.69845954</v>
      </c>
      <c r="G61" s="18" t="n">
        <v>19.48812571</v>
      </c>
      <c r="H61" s="20" t="n">
        <v>1.85356408</v>
      </c>
      <c r="I61" s="18" t="s">
        <v>349</v>
      </c>
      <c r="J61" s="20" t="s">
        <v>349</v>
      </c>
      <c r="K61" s="18" t="n">
        <v>0.6659318400000001</v>
      </c>
      <c r="L61" s="20" t="n">
        <v>0.39897306</v>
      </c>
      <c r="M61" s="18" t="n">
        <v>0</v>
      </c>
      <c r="N61" s="20" t="n">
        <v>0</v>
      </c>
      <c r="O61" s="18" t="n">
        <v>0</v>
      </c>
      <c r="P61" s="20" t="n">
        <v>0</v>
      </c>
      <c r="Q61" s="18" t="n">
        <v>9.43759835</v>
      </c>
      <c r="R61" s="20" t="n">
        <v>1.70633069</v>
      </c>
    </row>
    <row r="62" spans="1:18">
      <c r="A62" s="15" t="s">
        <v>404</v>
      </c>
      <c r="B62" s="17" t="n">
        <v>2230</v>
      </c>
      <c r="C62" s="18">
        <f>(1950.0/B62*100)</f>
        <v/>
      </c>
      <c r="D62" s="19" t="n">
        <v>280</v>
      </c>
      <c r="E62" s="18" t="n">
        <v>61.89790098</v>
      </c>
      <c r="F62" s="20" t="n">
        <v>2.54200855</v>
      </c>
      <c r="G62" s="18" t="n">
        <v>37.03135991</v>
      </c>
      <c r="H62" s="20" t="n">
        <v>2.5132912</v>
      </c>
      <c r="I62" s="18" t="s">
        <v>349</v>
      </c>
      <c r="J62" s="20" t="s">
        <v>349</v>
      </c>
      <c r="K62" s="18" t="n">
        <v>0</v>
      </c>
      <c r="L62" s="20" t="n">
        <v>0</v>
      </c>
      <c r="M62" s="18" t="n">
        <v>0</v>
      </c>
      <c r="N62" s="20" t="n">
        <v>0</v>
      </c>
      <c r="O62" s="18" t="n">
        <v>0</v>
      </c>
      <c r="P62" s="20" t="n">
        <v>0</v>
      </c>
      <c r="Q62" s="18" t="n">
        <v>1.07073911</v>
      </c>
      <c r="R62" s="20" t="n">
        <v>0.60635281</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(2443.0/B66*100)</f>
        <v/>
      </c>
      <c r="D66" s="19" t="n">
        <v>328</v>
      </c>
      <c r="E66" s="18" t="n">
        <v>65.60942464999999</v>
      </c>
      <c r="F66" s="20" t="n">
        <v>2.41436555</v>
      </c>
      <c r="G66" s="18" t="n">
        <v>4.75611318</v>
      </c>
      <c r="H66" s="20" t="n">
        <v>1.06055412</v>
      </c>
      <c r="I66" s="18" t="s">
        <v>349</v>
      </c>
      <c r="J66" s="20" t="s">
        <v>349</v>
      </c>
      <c r="K66" s="18" t="n">
        <v>1.90049353</v>
      </c>
      <c r="L66" s="20" t="n">
        <v>0.78159356</v>
      </c>
      <c r="M66" s="18" t="n">
        <v>0</v>
      </c>
      <c r="N66" s="20" t="n">
        <v>0</v>
      </c>
      <c r="O66" s="18" t="n">
        <v>0</v>
      </c>
      <c r="P66" s="20" t="n">
        <v>0</v>
      </c>
      <c r="Q66" s="18" t="n">
        <v>27.73396865</v>
      </c>
      <c r="R66" s="20" t="n">
        <v>2.36063287</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(5032.0/B68*100)</f>
        <v/>
      </c>
      <c r="D68" s="19" t="n">
        <v>1002</v>
      </c>
      <c r="E68" s="18" t="n">
        <v>77.25077208</v>
      </c>
      <c r="F68" s="20" t="n">
        <v>1.22226818</v>
      </c>
      <c r="G68" s="18" t="n">
        <v>9.67075638</v>
      </c>
      <c r="H68" s="20" t="n">
        <v>1.07666662</v>
      </c>
      <c r="I68" s="18" t="s">
        <v>349</v>
      </c>
      <c r="J68" s="20" t="s">
        <v>349</v>
      </c>
      <c r="K68" s="18" t="n">
        <v>1.51609051</v>
      </c>
      <c r="L68" s="20" t="n">
        <v>0.36824034</v>
      </c>
      <c r="M68" s="18" t="n">
        <v>0</v>
      </c>
      <c r="N68" s="20" t="n">
        <v>0</v>
      </c>
      <c r="O68" s="18" t="n">
        <v>0</v>
      </c>
      <c r="P68" s="20" t="n">
        <v>0</v>
      </c>
      <c r="Q68" s="18" t="n">
        <v>11.56238103</v>
      </c>
      <c r="R68" s="20" t="n">
        <v>0.98816251</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(2710.0/B70*100)</f>
        <v/>
      </c>
      <c r="D70" s="19" t="n">
        <v>397</v>
      </c>
      <c r="E70" s="18" t="n">
        <v>69.77184507</v>
      </c>
      <c r="F70" s="20" t="n">
        <v>2.328026</v>
      </c>
      <c r="G70" s="18" t="n">
        <v>21.19578612</v>
      </c>
      <c r="H70" s="20" t="n">
        <v>1.76558625</v>
      </c>
      <c r="I70" s="18" t="s">
        <v>349</v>
      </c>
      <c r="J70" s="20" t="s">
        <v>349</v>
      </c>
      <c r="K70" s="18" t="n">
        <v>0.50196483</v>
      </c>
      <c r="L70" s="20" t="n">
        <v>0.35304492</v>
      </c>
      <c r="M70" s="18" t="n">
        <v>0</v>
      </c>
      <c r="N70" s="20" t="n">
        <v>0</v>
      </c>
      <c r="O70" s="18" t="n">
        <v>0</v>
      </c>
      <c r="P70" s="20" t="n">
        <v>0</v>
      </c>
      <c r="Q70" s="18" t="n">
        <v>8.53040397</v>
      </c>
      <c r="R70" s="20" t="n">
        <v>1.52976418</v>
      </c>
    </row>
    <row r="71" spans="1:18">
      <c r="A71" s="15" t="s">
        <v>413</v>
      </c>
      <c r="B71" s="17" t="n">
        <v>2973</v>
      </c>
      <c r="C71" s="18">
        <f>(2599.0/B71*100)</f>
        <v/>
      </c>
      <c r="D71" s="19" t="n">
        <v>374</v>
      </c>
      <c r="E71" s="18" t="n">
        <v>31.03011597</v>
      </c>
      <c r="F71" s="20" t="n">
        <v>2.4632576</v>
      </c>
      <c r="G71" s="18" t="n">
        <v>66.87889988000001</v>
      </c>
      <c r="H71" s="20" t="n">
        <v>2.49902815</v>
      </c>
      <c r="I71" s="18" t="s">
        <v>349</v>
      </c>
      <c r="J71" s="20" t="s">
        <v>349</v>
      </c>
      <c r="K71" s="18" t="n">
        <v>0</v>
      </c>
      <c r="L71" s="20" t="n">
        <v>0</v>
      </c>
      <c r="M71" s="18" t="n">
        <v>0</v>
      </c>
      <c r="N71" s="20" t="n">
        <v>0</v>
      </c>
      <c r="O71" s="18" t="n">
        <v>0</v>
      </c>
      <c r="P71" s="20" t="n">
        <v>0</v>
      </c>
      <c r="Q71" s="18" t="n">
        <v>2.09098415</v>
      </c>
      <c r="R71" s="20" t="n">
        <v>0.71820872</v>
      </c>
    </row>
    <row r="72" spans="1:18">
      <c r="A72" s="15" t="s">
        <v>414</v>
      </c>
      <c r="B72" s="17" t="n">
        <v>3819</v>
      </c>
      <c r="C72" s="18">
        <f>(3341.0/B72*100)</f>
        <v/>
      </c>
      <c r="D72" s="19" t="n">
        <v>478</v>
      </c>
      <c r="E72" s="18" t="n">
        <v>63.49559421</v>
      </c>
      <c r="F72" s="20" t="n">
        <v>2.12123339</v>
      </c>
      <c r="G72" s="18" t="n">
        <v>31.47301133</v>
      </c>
      <c r="H72" s="20" t="n">
        <v>2.08317398</v>
      </c>
      <c r="I72" s="18" t="s">
        <v>349</v>
      </c>
      <c r="J72" s="20" t="s">
        <v>349</v>
      </c>
      <c r="K72" s="18" t="n">
        <v>0</v>
      </c>
      <c r="L72" s="20" t="n">
        <v>0</v>
      </c>
      <c r="M72" s="18" t="n">
        <v>0</v>
      </c>
      <c r="N72" s="20" t="n">
        <v>0</v>
      </c>
      <c r="O72" s="18" t="n">
        <v>0</v>
      </c>
      <c r="P72" s="20" t="n">
        <v>0</v>
      </c>
      <c r="Q72" s="18" t="n">
        <v>5.03139446</v>
      </c>
      <c r="R72" s="20" t="n">
        <v>0.92732577</v>
      </c>
    </row>
    <row r="73" spans="1:18">
      <c r="A73" s="15" t="s">
        <v>415</v>
      </c>
      <c r="B73" s="17" t="n">
        <v>4652</v>
      </c>
      <c r="C73" s="18">
        <f>(4103.0/B73*100)</f>
        <v/>
      </c>
      <c r="D73" s="19" t="n">
        <v>549</v>
      </c>
      <c r="E73" s="18" t="n">
        <v>86.37132401</v>
      </c>
      <c r="F73" s="20" t="n">
        <v>1.78946282</v>
      </c>
      <c r="G73" s="18" t="n">
        <v>9.1060085</v>
      </c>
      <c r="H73" s="20" t="n">
        <v>1.48011068</v>
      </c>
      <c r="I73" s="18" t="s">
        <v>349</v>
      </c>
      <c r="J73" s="20" t="s">
        <v>349</v>
      </c>
      <c r="K73" s="18" t="n">
        <v>0</v>
      </c>
      <c r="L73" s="20" t="n">
        <v>0</v>
      </c>
      <c r="M73" s="18" t="n">
        <v>0</v>
      </c>
      <c r="N73" s="20" t="n">
        <v>0</v>
      </c>
      <c r="O73" s="18" t="n">
        <v>0</v>
      </c>
      <c r="P73" s="20" t="n">
        <v>0</v>
      </c>
      <c r="Q73" s="18" t="n">
        <v>4.52266749</v>
      </c>
      <c r="R73" s="20" t="n">
        <v>1.17874361</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(4103.0/B81*100)</f>
        <v/>
      </c>
      <c r="D81" s="19" t="n">
        <v>595</v>
      </c>
      <c r="E81" s="18" t="n">
        <v>77.13904774</v>
      </c>
      <c r="F81" s="20" t="n">
        <v>1.95971061</v>
      </c>
      <c r="G81" s="18" t="n">
        <v>20.4493235</v>
      </c>
      <c r="H81" s="20" t="n">
        <v>1.91788156</v>
      </c>
      <c r="I81" s="18" t="s">
        <v>349</v>
      </c>
      <c r="J81" s="20" t="s">
        <v>349</v>
      </c>
      <c r="K81" s="18" t="n">
        <v>0</v>
      </c>
      <c r="L81" s="20" t="n">
        <v>0</v>
      </c>
      <c r="M81" s="18" t="n">
        <v>0</v>
      </c>
      <c r="N81" s="20" t="n">
        <v>0</v>
      </c>
      <c r="O81" s="18" t="n">
        <v>0</v>
      </c>
      <c r="P81" s="20" t="n">
        <v>0</v>
      </c>
      <c r="Q81" s="18" t="n">
        <v>2.41162876</v>
      </c>
      <c r="R81" s="20" t="n">
        <v>0.7913043199999999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(6293.0/B7*100)</f>
        <v/>
      </c>
      <c r="D7" s="19" t="n">
        <v>870</v>
      </c>
      <c r="E7" s="18" t="n">
        <v>52.13874774</v>
      </c>
      <c r="F7" s="20" t="n">
        <v>1.780164</v>
      </c>
      <c r="G7" s="18" t="n">
        <v>46.61157836</v>
      </c>
      <c r="H7" s="20" t="n">
        <v>1.75436078</v>
      </c>
      <c r="I7" s="18" t="s">
        <v>349</v>
      </c>
      <c r="J7" s="20" t="s">
        <v>349</v>
      </c>
      <c r="K7" s="18" t="n">
        <v>0.38335887</v>
      </c>
      <c r="L7" s="20" t="n">
        <v>0.1420356</v>
      </c>
      <c r="M7" s="18" t="n">
        <v>0</v>
      </c>
      <c r="N7" s="20" t="n">
        <v>0</v>
      </c>
      <c r="O7" s="18" t="n">
        <v>0</v>
      </c>
      <c r="P7" s="20" t="n">
        <v>0</v>
      </c>
      <c r="Q7" s="18" t="n">
        <v>0.86631504</v>
      </c>
      <c r="R7" s="20" t="n">
        <v>0.29308516</v>
      </c>
    </row>
    <row r="8" spans="1:18">
      <c r="A8" s="15" t="s">
        <v>350</v>
      </c>
      <c r="B8" s="17" t="n">
        <v>3443</v>
      </c>
      <c r="C8" s="18">
        <f>(3012.0/B8*100)</f>
        <v/>
      </c>
      <c r="D8" s="19" t="n">
        <v>431</v>
      </c>
      <c r="E8" s="18" t="n">
        <v>49.40562151</v>
      </c>
      <c r="F8" s="20" t="n">
        <v>2.26476701</v>
      </c>
      <c r="G8" s="18" t="n">
        <v>48.22005419</v>
      </c>
      <c r="H8" s="20" t="n">
        <v>2.22856651</v>
      </c>
      <c r="I8" s="18" t="s">
        <v>349</v>
      </c>
      <c r="J8" s="20" t="s">
        <v>349</v>
      </c>
      <c r="K8" s="18" t="n">
        <v>0.96376213</v>
      </c>
      <c r="L8" s="20" t="n">
        <v>0.44637682</v>
      </c>
      <c r="M8" s="18" t="n">
        <v>0</v>
      </c>
      <c r="N8" s="20" t="n">
        <v>0</v>
      </c>
      <c r="O8" s="18" t="n">
        <v>0</v>
      </c>
      <c r="P8" s="20" t="n">
        <v>0</v>
      </c>
      <c r="Q8" s="18" t="n">
        <v>1.41056217</v>
      </c>
      <c r="R8" s="20" t="n">
        <v>0.67151562</v>
      </c>
    </row>
    <row r="9" spans="1:18">
      <c r="A9" s="15" t="s">
        <v>351</v>
      </c>
      <c r="B9" s="17" t="n">
        <v>4752</v>
      </c>
      <c r="C9" s="18">
        <f>(4171.0/B9*100)</f>
        <v/>
      </c>
      <c r="D9" s="19" t="n">
        <v>581</v>
      </c>
      <c r="E9" s="18" t="n">
        <v>42.94169241</v>
      </c>
      <c r="F9" s="20" t="n">
        <v>2.20079416</v>
      </c>
      <c r="G9" s="18" t="n">
        <v>53.86087518</v>
      </c>
      <c r="H9" s="20" t="n">
        <v>2.20354613</v>
      </c>
      <c r="I9" s="18" t="s">
        <v>349</v>
      </c>
      <c r="J9" s="20" t="s">
        <v>349</v>
      </c>
      <c r="K9" s="18" t="n">
        <v>0.34275126</v>
      </c>
      <c r="L9" s="20" t="n">
        <v>0.28585194</v>
      </c>
      <c r="M9" s="18" t="n">
        <v>0</v>
      </c>
      <c r="N9" s="20" t="n">
        <v>0</v>
      </c>
      <c r="O9" s="18" t="n">
        <v>0</v>
      </c>
      <c r="P9" s="20" t="n">
        <v>0</v>
      </c>
      <c r="Q9" s="18" t="n">
        <v>2.85468115</v>
      </c>
      <c r="R9" s="20" t="n">
        <v>0.6285557000000001</v>
      </c>
    </row>
    <row r="10" spans="1:18">
      <c r="A10" s="15" t="s">
        <v>352</v>
      </c>
      <c r="B10" s="17" t="n">
        <v>10022</v>
      </c>
      <c r="C10" s="18">
        <f>(8800.0/B10*100)</f>
        <v/>
      </c>
      <c r="D10" s="19" t="n">
        <v>1222</v>
      </c>
      <c r="E10" s="18" t="n">
        <v>48.15597881</v>
      </c>
      <c r="F10" s="20" t="n">
        <v>1.76575478</v>
      </c>
      <c r="G10" s="18" t="n">
        <v>50.9578996</v>
      </c>
      <c r="H10" s="20" t="n">
        <v>1.80151146</v>
      </c>
      <c r="I10" s="18" t="s">
        <v>349</v>
      </c>
      <c r="J10" s="20" t="s">
        <v>349</v>
      </c>
      <c r="K10" s="18" t="n">
        <v>0.32163529</v>
      </c>
      <c r="L10" s="20" t="n">
        <v>0.22553793</v>
      </c>
      <c r="M10" s="18" t="n">
        <v>0</v>
      </c>
      <c r="N10" s="20" t="n">
        <v>0</v>
      </c>
      <c r="O10" s="18" t="n">
        <v>0</v>
      </c>
      <c r="P10" s="20" t="n">
        <v>0</v>
      </c>
      <c r="Q10" s="18" t="n">
        <v>0.5644863</v>
      </c>
      <c r="R10" s="20" t="n">
        <v>0.31437158</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(3008.0/B12*100)</f>
        <v/>
      </c>
      <c r="D12" s="19" t="n">
        <v>414</v>
      </c>
      <c r="E12" s="18" t="n">
        <v>48.13864854</v>
      </c>
      <c r="F12" s="20" t="n">
        <v>2.84546295</v>
      </c>
      <c r="G12" s="18" t="n">
        <v>49.99258511</v>
      </c>
      <c r="H12" s="20" t="n">
        <v>2.90355506</v>
      </c>
      <c r="I12" s="18" t="s">
        <v>349</v>
      </c>
      <c r="J12" s="20" t="s">
        <v>349</v>
      </c>
      <c r="K12" s="18" t="n">
        <v>0.46777851</v>
      </c>
      <c r="L12" s="20" t="n">
        <v>0.33579623</v>
      </c>
      <c r="M12" s="18" t="n">
        <v>0</v>
      </c>
      <c r="N12" s="20" t="n">
        <v>0</v>
      </c>
      <c r="O12" s="18" t="n">
        <v>0</v>
      </c>
      <c r="P12" s="20" t="n">
        <v>0</v>
      </c>
      <c r="Q12" s="18" t="n">
        <v>1.40098784</v>
      </c>
      <c r="R12" s="20" t="n">
        <v>0.59313707</v>
      </c>
    </row>
    <row r="13" spans="1:18">
      <c r="A13" s="15" t="s">
        <v>355</v>
      </c>
      <c r="B13" s="17" t="n">
        <v>3602</v>
      </c>
      <c r="C13" s="18">
        <f>(3184.0/B13*100)</f>
        <v/>
      </c>
      <c r="D13" s="19" t="n">
        <v>418</v>
      </c>
      <c r="E13" s="18" t="n">
        <v>44.9073938</v>
      </c>
      <c r="F13" s="20" t="n">
        <v>2.74433334</v>
      </c>
      <c r="G13" s="18" t="n">
        <v>53.50963924</v>
      </c>
      <c r="H13" s="20" t="n">
        <v>2.86389411</v>
      </c>
      <c r="I13" s="18" t="s">
        <v>349</v>
      </c>
      <c r="J13" s="20" t="s">
        <v>349</v>
      </c>
      <c r="K13" s="18" t="n">
        <v>1.53773131</v>
      </c>
      <c r="L13" s="20" t="n">
        <v>0.76429906</v>
      </c>
      <c r="M13" s="18" t="n">
        <v>0</v>
      </c>
      <c r="N13" s="20" t="n">
        <v>0</v>
      </c>
      <c r="O13" s="18" t="n">
        <v>0</v>
      </c>
      <c r="P13" s="20" t="n">
        <v>0</v>
      </c>
      <c r="Q13" s="18" t="n">
        <v>0.04523565</v>
      </c>
      <c r="R13" s="20" t="n">
        <v>0.04342563</v>
      </c>
    </row>
    <row r="14" spans="1:18">
      <c r="A14" s="15" t="s">
        <v>356</v>
      </c>
      <c r="B14" s="17" t="n">
        <v>2788</v>
      </c>
      <c r="C14" s="18">
        <f>(2456.0/B14*100)</f>
        <v/>
      </c>
      <c r="D14" s="19" t="n">
        <v>332</v>
      </c>
      <c r="E14" s="18" t="n">
        <v>43.32497342</v>
      </c>
      <c r="F14" s="20" t="n">
        <v>2.8140892</v>
      </c>
      <c r="G14" s="18" t="n">
        <v>55.36840552</v>
      </c>
      <c r="H14" s="20" t="n">
        <v>2.85389401</v>
      </c>
      <c r="I14" s="18" t="s">
        <v>349</v>
      </c>
      <c r="J14" s="20" t="s">
        <v>349</v>
      </c>
      <c r="K14" s="18" t="n">
        <v>0.64676992</v>
      </c>
      <c r="L14" s="20" t="n">
        <v>0.64547777</v>
      </c>
      <c r="M14" s="18" t="n">
        <v>0</v>
      </c>
      <c r="N14" s="20" t="n">
        <v>0</v>
      </c>
      <c r="O14" s="18" t="n">
        <v>0</v>
      </c>
      <c r="P14" s="20" t="n">
        <v>0</v>
      </c>
      <c r="Q14" s="18" t="n">
        <v>0.65985113</v>
      </c>
      <c r="R14" s="20" t="n">
        <v>0.65695035</v>
      </c>
    </row>
    <row r="15" spans="1:18">
      <c r="A15" s="15" t="s">
        <v>357</v>
      </c>
      <c r="B15" s="17" t="n">
        <v>2863</v>
      </c>
      <c r="C15" s="18">
        <f>(2515.0/B15*100)</f>
        <v/>
      </c>
      <c r="D15" s="19" t="n">
        <v>348</v>
      </c>
      <c r="E15" s="18" t="n">
        <v>51.01028109</v>
      </c>
      <c r="F15" s="20" t="n">
        <v>2.34960447</v>
      </c>
      <c r="G15" s="18" t="n">
        <v>46.22929</v>
      </c>
      <c r="H15" s="20" t="n">
        <v>2.49237932</v>
      </c>
      <c r="I15" s="18" t="s">
        <v>349</v>
      </c>
      <c r="J15" s="20" t="s">
        <v>349</v>
      </c>
      <c r="K15" s="18" t="n">
        <v>1.17510194</v>
      </c>
      <c r="L15" s="20" t="n">
        <v>0.57876733</v>
      </c>
      <c r="M15" s="18" t="n">
        <v>0</v>
      </c>
      <c r="N15" s="20" t="n">
        <v>0</v>
      </c>
      <c r="O15" s="18" t="n">
        <v>0</v>
      </c>
      <c r="P15" s="20" t="n">
        <v>0</v>
      </c>
      <c r="Q15" s="18" t="n">
        <v>1.58532697</v>
      </c>
      <c r="R15" s="20" t="n">
        <v>0.71734676</v>
      </c>
    </row>
    <row r="16" spans="1:18">
      <c r="A16" s="15" t="s">
        <v>358</v>
      </c>
      <c r="B16" s="17" t="n">
        <v>3111</v>
      </c>
      <c r="C16" s="18">
        <f>(2737.0/B16*100)</f>
        <v/>
      </c>
      <c r="D16" s="19" t="n">
        <v>374</v>
      </c>
      <c r="E16" s="18" t="n">
        <v>50.43841724</v>
      </c>
      <c r="F16" s="20" t="n">
        <v>2.68211023</v>
      </c>
      <c r="G16" s="18" t="n">
        <v>45.472584</v>
      </c>
      <c r="H16" s="20" t="n">
        <v>2.79807681</v>
      </c>
      <c r="I16" s="18" t="s">
        <v>349</v>
      </c>
      <c r="J16" s="20" t="s">
        <v>349</v>
      </c>
      <c r="K16" s="18" t="n">
        <v>0.8090674</v>
      </c>
      <c r="L16" s="20" t="n">
        <v>0.46418337</v>
      </c>
      <c r="M16" s="18" t="n">
        <v>0</v>
      </c>
      <c r="N16" s="20" t="n">
        <v>0</v>
      </c>
      <c r="O16" s="18" t="n">
        <v>0</v>
      </c>
      <c r="P16" s="20" t="n">
        <v>0</v>
      </c>
      <c r="Q16" s="18" t="n">
        <v>3.27993136</v>
      </c>
      <c r="R16" s="20" t="n">
        <v>0.98371548</v>
      </c>
    </row>
    <row r="17" spans="1:18">
      <c r="A17" s="15" t="s">
        <v>359</v>
      </c>
      <c r="B17" s="17" t="n">
        <v>3197</v>
      </c>
      <c r="C17" s="18">
        <f>(2794.0/B17*100)</f>
        <v/>
      </c>
      <c r="D17" s="19" t="n">
        <v>403</v>
      </c>
      <c r="E17" s="18" t="n">
        <v>46.69477509</v>
      </c>
      <c r="F17" s="20" t="n">
        <v>2.42170412</v>
      </c>
      <c r="G17" s="18" t="n">
        <v>49.44442851</v>
      </c>
      <c r="H17" s="20" t="n">
        <v>2.53494884</v>
      </c>
      <c r="I17" s="18" t="s">
        <v>349</v>
      </c>
      <c r="J17" s="20" t="s">
        <v>349</v>
      </c>
      <c r="K17" s="18" t="n">
        <v>0.72175699</v>
      </c>
      <c r="L17" s="20" t="n">
        <v>0.42001663</v>
      </c>
      <c r="M17" s="18" t="n">
        <v>0</v>
      </c>
      <c r="N17" s="20" t="n">
        <v>0</v>
      </c>
      <c r="O17" s="18" t="n">
        <v>0</v>
      </c>
      <c r="P17" s="20" t="n">
        <v>0</v>
      </c>
      <c r="Q17" s="18" t="n">
        <v>3.13903941</v>
      </c>
      <c r="R17" s="20" t="n">
        <v>0.86559499</v>
      </c>
    </row>
    <row r="18" spans="1:18">
      <c r="A18" s="15" t="s">
        <v>360</v>
      </c>
      <c r="B18" s="17" t="n">
        <v>2706</v>
      </c>
      <c r="C18" s="18">
        <f>(2392.0/B18*100)</f>
        <v/>
      </c>
      <c r="D18" s="19" t="n">
        <v>314</v>
      </c>
      <c r="E18" s="18" t="n">
        <v>47.72923071</v>
      </c>
      <c r="F18" s="20" t="n">
        <v>2.96884809</v>
      </c>
      <c r="G18" s="18" t="n">
        <v>50.48258091</v>
      </c>
      <c r="H18" s="20" t="n">
        <v>3.0484261</v>
      </c>
      <c r="I18" s="18" t="s">
        <v>349</v>
      </c>
      <c r="J18" s="20" t="s">
        <v>349</v>
      </c>
      <c r="K18" s="18" t="n">
        <v>1.24600094</v>
      </c>
      <c r="L18" s="20" t="n">
        <v>0.93141802</v>
      </c>
      <c r="M18" s="18" t="n">
        <v>0</v>
      </c>
      <c r="N18" s="20" t="n">
        <v>0</v>
      </c>
      <c r="O18" s="18" t="n">
        <v>0</v>
      </c>
      <c r="P18" s="20" t="n">
        <v>0</v>
      </c>
      <c r="Q18" s="18" t="n">
        <v>0.54218743</v>
      </c>
      <c r="R18" s="20" t="n">
        <v>0.39173735</v>
      </c>
    </row>
    <row r="19" spans="1:18">
      <c r="A19" s="15" t="s">
        <v>361</v>
      </c>
      <c r="B19" s="17" t="n">
        <v>2850</v>
      </c>
      <c r="C19" s="18">
        <f>(2513.0/B19*100)</f>
        <v/>
      </c>
      <c r="D19" s="19" t="n">
        <v>337</v>
      </c>
      <c r="E19" s="18" t="n">
        <v>42.96020747</v>
      </c>
      <c r="F19" s="20" t="n">
        <v>2.99546732</v>
      </c>
      <c r="G19" s="18" t="n">
        <v>56.28333037</v>
      </c>
      <c r="H19" s="20" t="n">
        <v>3.06584993</v>
      </c>
      <c r="I19" s="18" t="s">
        <v>349</v>
      </c>
      <c r="J19" s="20" t="s">
        <v>349</v>
      </c>
      <c r="K19" s="18" t="n">
        <v>0</v>
      </c>
      <c r="L19" s="20" t="n">
        <v>0</v>
      </c>
      <c r="M19" s="18" t="n">
        <v>0</v>
      </c>
      <c r="N19" s="20" t="n">
        <v>0</v>
      </c>
      <c r="O19" s="18" t="n">
        <v>0</v>
      </c>
      <c r="P19" s="20" t="n">
        <v>0</v>
      </c>
      <c r="Q19" s="18" t="n">
        <v>0.75646216</v>
      </c>
      <c r="R19" s="20" t="n">
        <v>0.58131509</v>
      </c>
    </row>
    <row r="20" spans="1:18">
      <c r="A20" s="15" t="s">
        <v>362</v>
      </c>
      <c r="B20" s="17" t="n">
        <v>1741</v>
      </c>
      <c r="C20" s="18">
        <f>(1524.0/B20*100)</f>
        <v/>
      </c>
      <c r="D20" s="19" t="n">
        <v>217</v>
      </c>
      <c r="E20" s="18" t="n">
        <v>49.71375884</v>
      </c>
      <c r="F20" s="20" t="n">
        <v>3.56963382</v>
      </c>
      <c r="G20" s="18" t="n">
        <v>48.76606013</v>
      </c>
      <c r="H20" s="20" t="n">
        <v>3.43898836</v>
      </c>
      <c r="I20" s="18" t="s">
        <v>349</v>
      </c>
      <c r="J20" s="20" t="s">
        <v>349</v>
      </c>
      <c r="K20" s="18" t="n">
        <v>0.53437756</v>
      </c>
      <c r="L20" s="20" t="n">
        <v>0.52339948</v>
      </c>
      <c r="M20" s="18" t="n">
        <v>0</v>
      </c>
      <c r="N20" s="20" t="n">
        <v>0</v>
      </c>
      <c r="O20" s="18" t="n">
        <v>0</v>
      </c>
      <c r="P20" s="20" t="n">
        <v>0</v>
      </c>
      <c r="Q20" s="18" t="n">
        <v>0.98580347</v>
      </c>
      <c r="R20" s="20" t="n">
        <v>0.69300988</v>
      </c>
    </row>
    <row r="21" spans="1:18">
      <c r="A21" s="15" t="s">
        <v>363</v>
      </c>
      <c r="B21" s="17" t="n">
        <v>2833</v>
      </c>
      <c r="C21" s="18">
        <f>(2380.0/B21*100)</f>
        <v/>
      </c>
      <c r="D21" s="19" t="n">
        <v>453</v>
      </c>
      <c r="E21" s="18" t="n">
        <v>51.27340099</v>
      </c>
      <c r="F21" s="20" t="n">
        <v>2.28647786</v>
      </c>
      <c r="G21" s="18" t="n">
        <v>48.27202942</v>
      </c>
      <c r="H21" s="20" t="n">
        <v>2.25090208</v>
      </c>
      <c r="I21" s="18" t="s">
        <v>349</v>
      </c>
      <c r="J21" s="20" t="s">
        <v>349</v>
      </c>
      <c r="K21" s="18" t="n">
        <v>0.16175137</v>
      </c>
      <c r="L21" s="20" t="n">
        <v>0.16098564</v>
      </c>
      <c r="M21" s="18" t="n">
        <v>0</v>
      </c>
      <c r="N21" s="20" t="n">
        <v>0</v>
      </c>
      <c r="O21" s="18" t="n">
        <v>0</v>
      </c>
      <c r="P21" s="20" t="n">
        <v>0</v>
      </c>
      <c r="Q21" s="18" t="n">
        <v>0.29281822</v>
      </c>
      <c r="R21" s="20" t="n">
        <v>0.29605812</v>
      </c>
    </row>
    <row r="22" spans="1:18">
      <c r="A22" s="15" t="s">
        <v>364</v>
      </c>
      <c r="B22" s="17" t="n">
        <v>3667</v>
      </c>
      <c r="C22" s="18">
        <f>(3193.0/B22*100)</f>
        <v/>
      </c>
      <c r="D22" s="19" t="n">
        <v>474</v>
      </c>
      <c r="E22" s="18" t="n">
        <v>49.53842456</v>
      </c>
      <c r="F22" s="20" t="n">
        <v>2.51406445</v>
      </c>
      <c r="G22" s="18" t="n">
        <v>46.12147144</v>
      </c>
      <c r="H22" s="20" t="n">
        <v>2.30752699</v>
      </c>
      <c r="I22" s="18" t="s">
        <v>349</v>
      </c>
      <c r="J22" s="20" t="s">
        <v>349</v>
      </c>
      <c r="K22" s="18" t="n">
        <v>2.07571251</v>
      </c>
      <c r="L22" s="20" t="n">
        <v>0.57541213</v>
      </c>
      <c r="M22" s="18" t="n">
        <v>0</v>
      </c>
      <c r="N22" s="20" t="n">
        <v>0</v>
      </c>
      <c r="O22" s="18" t="n">
        <v>0</v>
      </c>
      <c r="P22" s="20" t="n">
        <v>0</v>
      </c>
      <c r="Q22" s="18" t="n">
        <v>2.26439149</v>
      </c>
      <c r="R22" s="20" t="n">
        <v>0.56222924</v>
      </c>
    </row>
    <row r="23" spans="1:18">
      <c r="A23" s="15" t="s">
        <v>365</v>
      </c>
      <c r="B23" s="17" t="n">
        <v>5792</v>
      </c>
      <c r="C23" s="18">
        <f>(5079.0/B23*100)</f>
        <v/>
      </c>
      <c r="D23" s="19" t="n">
        <v>713</v>
      </c>
      <c r="E23" s="18" t="n">
        <v>46.43734284</v>
      </c>
      <c r="F23" s="20" t="n">
        <v>2.36850486</v>
      </c>
      <c r="G23" s="18" t="n">
        <v>51.27227382</v>
      </c>
      <c r="H23" s="20" t="n">
        <v>2.28752503</v>
      </c>
      <c r="I23" s="18" t="s">
        <v>349</v>
      </c>
      <c r="J23" s="20" t="s">
        <v>349</v>
      </c>
      <c r="K23" s="18" t="n">
        <v>1.17584228</v>
      </c>
      <c r="L23" s="20" t="n">
        <v>0.60718912</v>
      </c>
      <c r="M23" s="18" t="n">
        <v>0</v>
      </c>
      <c r="N23" s="20" t="n">
        <v>0</v>
      </c>
      <c r="O23" s="18" t="n">
        <v>0</v>
      </c>
      <c r="P23" s="20" t="n">
        <v>0</v>
      </c>
      <c r="Q23" s="18" t="n">
        <v>1.11454106</v>
      </c>
      <c r="R23" s="20" t="n">
        <v>0.46256573</v>
      </c>
    </row>
    <row r="24" spans="1:18">
      <c r="A24" s="15" t="s">
        <v>366</v>
      </c>
      <c r="B24" s="17" t="n">
        <v>3309</v>
      </c>
      <c r="C24" s="18">
        <f>(2932.0/B24*100)</f>
        <v/>
      </c>
      <c r="D24" s="19" t="n">
        <v>377</v>
      </c>
      <c r="E24" s="18" t="n">
        <v>34.99708869</v>
      </c>
      <c r="F24" s="20" t="n">
        <v>2.50644442</v>
      </c>
      <c r="G24" s="18" t="n">
        <v>64.18802667999999</v>
      </c>
      <c r="H24" s="20" t="n">
        <v>2.48194238</v>
      </c>
      <c r="I24" s="18" t="s">
        <v>349</v>
      </c>
      <c r="J24" s="20" t="s">
        <v>349</v>
      </c>
      <c r="K24" s="18" t="n">
        <v>0.24366253</v>
      </c>
      <c r="L24" s="20" t="n">
        <v>0.24283132</v>
      </c>
      <c r="M24" s="18" t="n">
        <v>0</v>
      </c>
      <c r="N24" s="20" t="n">
        <v>0</v>
      </c>
      <c r="O24" s="18" t="n">
        <v>0</v>
      </c>
      <c r="P24" s="20" t="n">
        <v>0</v>
      </c>
      <c r="Q24" s="18" t="n">
        <v>0.5712221</v>
      </c>
      <c r="R24" s="20" t="n">
        <v>0.40246566</v>
      </c>
    </row>
    <row r="25" spans="1:18">
      <c r="A25" s="15" t="s">
        <v>367</v>
      </c>
      <c r="B25" s="17" t="n">
        <v>2669</v>
      </c>
      <c r="C25" s="18">
        <f>(2361.0/B25*100)</f>
        <v/>
      </c>
      <c r="D25" s="19" t="n">
        <v>308</v>
      </c>
      <c r="E25" s="18" t="n">
        <v>38.22501672</v>
      </c>
      <c r="F25" s="20" t="n">
        <v>2.73351131</v>
      </c>
      <c r="G25" s="18" t="n">
        <v>61.43600727</v>
      </c>
      <c r="H25" s="20" t="n">
        <v>2.76741741</v>
      </c>
      <c r="I25" s="18" t="s">
        <v>349</v>
      </c>
      <c r="J25" s="20" t="s">
        <v>349</v>
      </c>
      <c r="K25" s="18" t="n">
        <v>0</v>
      </c>
      <c r="L25" s="20" t="n">
        <v>0</v>
      </c>
      <c r="M25" s="18" t="n">
        <v>0</v>
      </c>
      <c r="N25" s="20" t="n">
        <v>0</v>
      </c>
      <c r="O25" s="18" t="n">
        <v>0</v>
      </c>
      <c r="P25" s="20" t="n">
        <v>0</v>
      </c>
      <c r="Q25" s="18" t="n">
        <v>0.338976</v>
      </c>
      <c r="R25" s="20" t="n">
        <v>0.34030428</v>
      </c>
    </row>
    <row r="26" spans="1:18">
      <c r="A26" s="15" t="s">
        <v>368</v>
      </c>
      <c r="B26" s="17" t="n">
        <v>2419</v>
      </c>
      <c r="C26" s="18">
        <f>(2108.0/B26*100)</f>
        <v/>
      </c>
      <c r="D26" s="19" t="n">
        <v>311</v>
      </c>
      <c r="E26" s="18" t="n">
        <v>51.60171364</v>
      </c>
      <c r="F26" s="20" t="n">
        <v>3.11043426</v>
      </c>
      <c r="G26" s="18" t="n">
        <v>47.89554457</v>
      </c>
      <c r="H26" s="20" t="n">
        <v>3.11196486</v>
      </c>
      <c r="I26" s="18" t="s">
        <v>349</v>
      </c>
      <c r="J26" s="20" t="s">
        <v>349</v>
      </c>
      <c r="K26" s="18" t="n">
        <v>0.24556292</v>
      </c>
      <c r="L26" s="20" t="n">
        <v>0.24447448</v>
      </c>
      <c r="M26" s="18" t="n">
        <v>0</v>
      </c>
      <c r="N26" s="20" t="n">
        <v>0</v>
      </c>
      <c r="O26" s="18" t="n">
        <v>0</v>
      </c>
      <c r="P26" s="20" t="n">
        <v>0</v>
      </c>
      <c r="Q26" s="18" t="n">
        <v>0.25717887</v>
      </c>
      <c r="R26" s="20" t="n">
        <v>0.27409926</v>
      </c>
    </row>
    <row r="27" spans="1:18">
      <c r="A27" s="15" t="s">
        <v>369</v>
      </c>
      <c r="B27" s="17" t="n">
        <v>2683</v>
      </c>
      <c r="C27" s="18">
        <f>(2356.0/B27*100)</f>
        <v/>
      </c>
      <c r="D27" s="19" t="n">
        <v>327</v>
      </c>
      <c r="E27" s="18" t="n">
        <v>52.01054198</v>
      </c>
      <c r="F27" s="20" t="n">
        <v>2.61799091</v>
      </c>
      <c r="G27" s="18" t="n">
        <v>45.85576742</v>
      </c>
      <c r="H27" s="20" t="n">
        <v>2.59975578</v>
      </c>
      <c r="I27" s="18" t="s">
        <v>349</v>
      </c>
      <c r="J27" s="20" t="s">
        <v>349</v>
      </c>
      <c r="K27" s="18" t="n">
        <v>0.92141203</v>
      </c>
      <c r="L27" s="20" t="n">
        <v>0.54156942</v>
      </c>
      <c r="M27" s="18" t="n">
        <v>0</v>
      </c>
      <c r="N27" s="20" t="n">
        <v>0</v>
      </c>
      <c r="O27" s="18" t="n">
        <v>0</v>
      </c>
      <c r="P27" s="20" t="n">
        <v>0</v>
      </c>
      <c r="Q27" s="18" t="n">
        <v>1.21227856</v>
      </c>
      <c r="R27" s="20" t="n">
        <v>0.6018380800000001</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(2375.0/B29*100)</f>
        <v/>
      </c>
      <c r="D29" s="19" t="n">
        <v>325</v>
      </c>
      <c r="E29" s="18" t="n">
        <v>50.04780743</v>
      </c>
      <c r="F29" s="20" t="n">
        <v>2.73298334</v>
      </c>
      <c r="G29" s="18" t="n">
        <v>47.97322758</v>
      </c>
      <c r="H29" s="20" t="n">
        <v>2.79324612</v>
      </c>
      <c r="I29" s="18" t="s">
        <v>349</v>
      </c>
      <c r="J29" s="20" t="s">
        <v>349</v>
      </c>
      <c r="K29" s="18" t="n">
        <v>0.91563591</v>
      </c>
      <c r="L29" s="20" t="n">
        <v>0.51256934</v>
      </c>
      <c r="M29" s="18" t="n">
        <v>0</v>
      </c>
      <c r="N29" s="20" t="n">
        <v>0</v>
      </c>
      <c r="O29" s="18" t="n">
        <v>0</v>
      </c>
      <c r="P29" s="20" t="n">
        <v>0</v>
      </c>
      <c r="Q29" s="18" t="n">
        <v>1.06332908</v>
      </c>
      <c r="R29" s="20" t="n">
        <v>0.3220235</v>
      </c>
    </row>
    <row r="30" spans="1:18">
      <c r="A30" s="15" t="s">
        <v>372</v>
      </c>
      <c r="B30" s="17" t="n">
        <v>2257</v>
      </c>
      <c r="C30" s="18">
        <f>(1978.0/B30*100)</f>
        <v/>
      </c>
      <c r="D30" s="19" t="n">
        <v>279</v>
      </c>
      <c r="E30" s="18" t="n">
        <v>49.35989742</v>
      </c>
      <c r="F30" s="20" t="n">
        <v>3.24780444</v>
      </c>
      <c r="G30" s="18" t="n">
        <v>49.18320172</v>
      </c>
      <c r="H30" s="20" t="n">
        <v>3.14460063</v>
      </c>
      <c r="I30" s="18" t="s">
        <v>349</v>
      </c>
      <c r="J30" s="20" t="s">
        <v>349</v>
      </c>
      <c r="K30" s="18" t="n">
        <v>1.17830596</v>
      </c>
      <c r="L30" s="20" t="n">
        <v>0.64557955</v>
      </c>
      <c r="M30" s="18" t="n">
        <v>0</v>
      </c>
      <c r="N30" s="20" t="n">
        <v>0</v>
      </c>
      <c r="O30" s="18" t="n">
        <v>0</v>
      </c>
      <c r="P30" s="20" t="n">
        <v>0</v>
      </c>
      <c r="Q30" s="18" t="n">
        <v>0.2785949</v>
      </c>
      <c r="R30" s="20" t="n">
        <v>0.27371823</v>
      </c>
    </row>
    <row r="31" spans="1:18">
      <c r="A31" s="15" t="s">
        <v>373</v>
      </c>
      <c r="B31" s="17" t="n">
        <v>2706</v>
      </c>
      <c r="C31" s="18">
        <f>(2363.0/B31*100)</f>
        <v/>
      </c>
      <c r="D31" s="19" t="n">
        <v>343</v>
      </c>
      <c r="E31" s="18" t="n">
        <v>52.14662798</v>
      </c>
      <c r="F31" s="20" t="n">
        <v>3.1460784</v>
      </c>
      <c r="G31" s="18" t="n">
        <v>45.3885801</v>
      </c>
      <c r="H31" s="20" t="n">
        <v>3.02787508</v>
      </c>
      <c r="I31" s="18" t="s">
        <v>349</v>
      </c>
      <c r="J31" s="20" t="s">
        <v>349</v>
      </c>
      <c r="K31" s="18" t="n">
        <v>1.45456644</v>
      </c>
      <c r="L31" s="20" t="n">
        <v>0.66126231</v>
      </c>
      <c r="M31" s="18" t="n">
        <v>0</v>
      </c>
      <c r="N31" s="20" t="n">
        <v>0</v>
      </c>
      <c r="O31" s="18" t="n">
        <v>0</v>
      </c>
      <c r="P31" s="20" t="n">
        <v>0</v>
      </c>
      <c r="Q31" s="18" t="n">
        <v>1.01022548</v>
      </c>
      <c r="R31" s="20" t="n">
        <v>0.56084414</v>
      </c>
    </row>
    <row r="32" spans="1:18">
      <c r="A32" s="15" t="s">
        <v>374</v>
      </c>
      <c r="B32" s="17" t="n">
        <v>2209</v>
      </c>
      <c r="C32" s="18">
        <f>(1834.0/B32*100)</f>
        <v/>
      </c>
      <c r="D32" s="19" t="n">
        <v>375</v>
      </c>
      <c r="E32" s="18" t="n">
        <v>45.60531033</v>
      </c>
      <c r="F32" s="20" t="n">
        <v>2.72898858</v>
      </c>
      <c r="G32" s="18" t="n">
        <v>53.38229635</v>
      </c>
      <c r="H32" s="20" t="n">
        <v>2.71909234</v>
      </c>
      <c r="I32" s="18" t="s">
        <v>349</v>
      </c>
      <c r="J32" s="20" t="s">
        <v>349</v>
      </c>
      <c r="K32" s="18" t="n">
        <v>0.56111085</v>
      </c>
      <c r="L32" s="20" t="n">
        <v>0.39098601</v>
      </c>
      <c r="M32" s="18" t="n">
        <v>0</v>
      </c>
      <c r="N32" s="20" t="n">
        <v>0</v>
      </c>
      <c r="O32" s="18" t="n">
        <v>0</v>
      </c>
      <c r="P32" s="20" t="n">
        <v>0</v>
      </c>
      <c r="Q32" s="18" t="n">
        <v>0.45128246</v>
      </c>
      <c r="R32" s="20" t="n">
        <v>0.31983126</v>
      </c>
    </row>
    <row r="33" spans="1:18">
      <c r="A33" s="15" t="s">
        <v>375</v>
      </c>
      <c r="B33" s="17" t="n">
        <v>3651</v>
      </c>
      <c r="C33" s="18">
        <f>(3207.0/B33*100)</f>
        <v/>
      </c>
      <c r="D33" s="19" t="n">
        <v>444</v>
      </c>
      <c r="E33" s="18" t="n">
        <v>51.60001297</v>
      </c>
      <c r="F33" s="20" t="n">
        <v>2.44234357</v>
      </c>
      <c r="G33" s="18" t="n">
        <v>46.65420476</v>
      </c>
      <c r="H33" s="20" t="n">
        <v>2.51966863</v>
      </c>
      <c r="I33" s="18" t="s">
        <v>349</v>
      </c>
      <c r="J33" s="20" t="s">
        <v>349</v>
      </c>
      <c r="K33" s="18" t="n">
        <v>1.28483276</v>
      </c>
      <c r="L33" s="20" t="n">
        <v>0.69175937</v>
      </c>
      <c r="M33" s="18" t="n">
        <v>0</v>
      </c>
      <c r="N33" s="20" t="n">
        <v>0</v>
      </c>
      <c r="O33" s="18" t="n">
        <v>0</v>
      </c>
      <c r="P33" s="20" t="n">
        <v>0</v>
      </c>
      <c r="Q33" s="18" t="n">
        <v>0.46094951</v>
      </c>
      <c r="R33" s="20" t="n">
        <v>0.30412222</v>
      </c>
    </row>
    <row r="34" spans="1:18">
      <c r="A34" s="15" t="s">
        <v>376</v>
      </c>
      <c r="B34" s="17" t="n">
        <v>3035</v>
      </c>
      <c r="C34" s="18">
        <f>(2644.0/B34*100)</f>
        <v/>
      </c>
      <c r="D34" s="19" t="n">
        <v>391</v>
      </c>
      <c r="E34" s="18" t="n">
        <v>50.56528143</v>
      </c>
      <c r="F34" s="20" t="n">
        <v>2.75799956</v>
      </c>
      <c r="G34" s="18" t="n">
        <v>48.0513689</v>
      </c>
      <c r="H34" s="20" t="n">
        <v>2.59551945</v>
      </c>
      <c r="I34" s="18" t="s">
        <v>349</v>
      </c>
      <c r="J34" s="20" t="s">
        <v>349</v>
      </c>
      <c r="K34" s="18" t="n">
        <v>0.76902132</v>
      </c>
      <c r="L34" s="20" t="n">
        <v>0.56869135</v>
      </c>
      <c r="M34" s="18" t="n">
        <v>0</v>
      </c>
      <c r="N34" s="20" t="n">
        <v>0</v>
      </c>
      <c r="O34" s="18" t="n">
        <v>0</v>
      </c>
      <c r="P34" s="20" t="n">
        <v>0</v>
      </c>
      <c r="Q34" s="18" t="n">
        <v>0.61432834</v>
      </c>
      <c r="R34" s="20" t="n">
        <v>0.56740981</v>
      </c>
    </row>
    <row r="35" spans="1:18">
      <c r="A35" s="15" t="s">
        <v>377</v>
      </c>
      <c r="B35" s="17" t="n">
        <v>2901</v>
      </c>
      <c r="C35" s="18">
        <f>(2532.0/B35*100)</f>
        <v/>
      </c>
      <c r="D35" s="19" t="n">
        <v>369</v>
      </c>
      <c r="E35" s="18" t="n">
        <v>41.40370787</v>
      </c>
      <c r="F35" s="20" t="n">
        <v>2.9337572</v>
      </c>
      <c r="G35" s="18" t="n">
        <v>57.9178411</v>
      </c>
      <c r="H35" s="20" t="n">
        <v>2.90243591</v>
      </c>
      <c r="I35" s="18" t="s">
        <v>349</v>
      </c>
      <c r="J35" s="20" t="s">
        <v>349</v>
      </c>
      <c r="K35" s="18" t="n">
        <v>0</v>
      </c>
      <c r="L35" s="20" t="n">
        <v>0</v>
      </c>
      <c r="M35" s="18" t="n">
        <v>0</v>
      </c>
      <c r="N35" s="20" t="n">
        <v>0</v>
      </c>
      <c r="O35" s="18" t="n">
        <v>0</v>
      </c>
      <c r="P35" s="20" t="n">
        <v>0</v>
      </c>
      <c r="Q35" s="18" t="n">
        <v>0.67845102</v>
      </c>
      <c r="R35" s="20" t="n">
        <v>0.50560723</v>
      </c>
    </row>
    <row r="36" spans="1:18">
      <c r="A36" s="15" t="s">
        <v>378</v>
      </c>
      <c r="B36" s="17" t="n">
        <v>3404</v>
      </c>
      <c r="C36" s="18">
        <f>(2994.0/B36*100)</f>
        <v/>
      </c>
      <c r="D36" s="19" t="n">
        <v>410</v>
      </c>
      <c r="E36" s="18" t="n">
        <v>57.2218517</v>
      </c>
      <c r="F36" s="20" t="n">
        <v>2.63084353</v>
      </c>
      <c r="G36" s="18" t="n">
        <v>41.10803047</v>
      </c>
      <c r="H36" s="20" t="n">
        <v>2.60489997</v>
      </c>
      <c r="I36" s="18" t="s">
        <v>349</v>
      </c>
      <c r="J36" s="20" t="s">
        <v>349</v>
      </c>
      <c r="K36" s="18" t="n">
        <v>0.87110263</v>
      </c>
      <c r="L36" s="20" t="n">
        <v>0.50833375</v>
      </c>
      <c r="M36" s="18" t="n">
        <v>0</v>
      </c>
      <c r="N36" s="20" t="n">
        <v>0</v>
      </c>
      <c r="O36" s="18" t="n">
        <v>0</v>
      </c>
      <c r="P36" s="20" t="n">
        <v>0</v>
      </c>
      <c r="Q36" s="18" t="n">
        <v>0.7990152</v>
      </c>
      <c r="R36" s="20" t="n">
        <v>0.45420177</v>
      </c>
    </row>
    <row r="37" spans="1:18">
      <c r="A37" s="15" t="s">
        <v>379</v>
      </c>
      <c r="B37" s="17" t="n">
        <v>2731</v>
      </c>
      <c r="C37" s="18">
        <f>(2402.0/B37*100)</f>
        <v/>
      </c>
      <c r="D37" s="19" t="n">
        <v>329</v>
      </c>
      <c r="E37" s="18" t="n">
        <v>52.09599142</v>
      </c>
      <c r="F37" s="20" t="n">
        <v>2.53054135</v>
      </c>
      <c r="G37" s="18" t="n">
        <v>41.99154082</v>
      </c>
      <c r="H37" s="20" t="n">
        <v>2.63651356</v>
      </c>
      <c r="I37" s="18" t="s">
        <v>349</v>
      </c>
      <c r="J37" s="20" t="s">
        <v>349</v>
      </c>
      <c r="K37" s="18" t="n">
        <v>3.89727541</v>
      </c>
      <c r="L37" s="20" t="n">
        <v>1.10943251</v>
      </c>
      <c r="M37" s="18" t="n">
        <v>0</v>
      </c>
      <c r="N37" s="20" t="n">
        <v>0</v>
      </c>
      <c r="O37" s="18" t="n">
        <v>0</v>
      </c>
      <c r="P37" s="20" t="n">
        <v>0</v>
      </c>
      <c r="Q37" s="18" t="n">
        <v>2.01519235</v>
      </c>
      <c r="R37" s="20" t="n">
        <v>0.7737772000000001</v>
      </c>
    </row>
    <row r="38" spans="1:18">
      <c r="A38" s="15" t="s">
        <v>380</v>
      </c>
      <c r="B38" s="17" t="n">
        <v>2807</v>
      </c>
      <c r="C38" s="18">
        <f>(2359.0/B38*100)</f>
        <v/>
      </c>
      <c r="D38" s="19" t="n">
        <v>448</v>
      </c>
      <c r="E38" s="18" t="n">
        <v>43.76085794</v>
      </c>
      <c r="F38" s="20" t="n">
        <v>2.80747318</v>
      </c>
      <c r="G38" s="18" t="n">
        <v>54.25763737</v>
      </c>
      <c r="H38" s="20" t="n">
        <v>2.83861379</v>
      </c>
      <c r="I38" s="18" t="s">
        <v>349</v>
      </c>
      <c r="J38" s="20" t="s">
        <v>349</v>
      </c>
      <c r="K38" s="18" t="n">
        <v>0.96489576</v>
      </c>
      <c r="L38" s="20" t="n">
        <v>0.37559762</v>
      </c>
      <c r="M38" s="18" t="n">
        <v>0</v>
      </c>
      <c r="N38" s="20" t="n">
        <v>0</v>
      </c>
      <c r="O38" s="18" t="n">
        <v>0</v>
      </c>
      <c r="P38" s="20" t="n">
        <v>0</v>
      </c>
      <c r="Q38" s="18" t="n">
        <v>1.01660893</v>
      </c>
      <c r="R38" s="20" t="n">
        <v>0.28891215</v>
      </c>
    </row>
    <row r="39" spans="1:18">
      <c r="A39" s="15" t="s">
        <v>381</v>
      </c>
      <c r="B39" s="17" t="n">
        <v>2938</v>
      </c>
      <c r="C39" s="18">
        <f>(2566.0/B39*100)</f>
        <v/>
      </c>
      <c r="D39" s="19" t="n">
        <v>372</v>
      </c>
      <c r="E39" s="18" t="n">
        <v>58.6368453</v>
      </c>
      <c r="F39" s="20" t="n">
        <v>2.41532706</v>
      </c>
      <c r="G39" s="18" t="n">
        <v>39.90664411</v>
      </c>
      <c r="H39" s="20" t="n">
        <v>2.51200912</v>
      </c>
      <c r="I39" s="18" t="s">
        <v>349</v>
      </c>
      <c r="J39" s="20" t="s">
        <v>349</v>
      </c>
      <c r="K39" s="18" t="n">
        <v>0</v>
      </c>
      <c r="L39" s="20" t="n">
        <v>0</v>
      </c>
      <c r="M39" s="18" t="n">
        <v>0</v>
      </c>
      <c r="N39" s="20" t="n">
        <v>0</v>
      </c>
      <c r="O39" s="18" t="n">
        <v>0</v>
      </c>
      <c r="P39" s="20" t="n">
        <v>0</v>
      </c>
      <c r="Q39" s="18" t="n">
        <v>1.45651059</v>
      </c>
      <c r="R39" s="20" t="n">
        <v>0.5060597999999999</v>
      </c>
    </row>
    <row r="40" spans="1:18">
      <c r="A40" s="15" t="s">
        <v>382</v>
      </c>
      <c r="B40" s="17" t="n">
        <v>6922</v>
      </c>
      <c r="C40" s="18">
        <f>(6014.0/B40*100)</f>
        <v/>
      </c>
      <c r="D40" s="19" t="n">
        <v>908</v>
      </c>
      <c r="E40" s="18" t="n">
        <v>53.21704878</v>
      </c>
      <c r="F40" s="20" t="n">
        <v>2.67747538</v>
      </c>
      <c r="G40" s="18" t="n">
        <v>45.46854107</v>
      </c>
      <c r="H40" s="20" t="n">
        <v>2.69202243</v>
      </c>
      <c r="I40" s="18" t="s">
        <v>349</v>
      </c>
      <c r="J40" s="20" t="s">
        <v>349</v>
      </c>
      <c r="K40" s="18" t="n">
        <v>0.8631311</v>
      </c>
      <c r="L40" s="20" t="n">
        <v>0.48993879</v>
      </c>
      <c r="M40" s="18" t="n">
        <v>0</v>
      </c>
      <c r="N40" s="20" t="n">
        <v>0</v>
      </c>
      <c r="O40" s="18" t="n">
        <v>0</v>
      </c>
      <c r="P40" s="20" t="n">
        <v>0</v>
      </c>
      <c r="Q40" s="18" t="n">
        <v>0.45127904</v>
      </c>
      <c r="R40" s="20" t="n">
        <v>0.2325272</v>
      </c>
    </row>
    <row r="41" spans="1:18">
      <c r="A41" s="15" t="s">
        <v>383</v>
      </c>
      <c r="B41" s="17" t="n">
        <v>2854</v>
      </c>
      <c r="C41" s="18">
        <f>(2495.0/B41*100)</f>
        <v/>
      </c>
      <c r="D41" s="19" t="n">
        <v>359</v>
      </c>
      <c r="E41" s="18" t="n">
        <v>52.40127547</v>
      </c>
      <c r="F41" s="20" t="n">
        <v>3.42115449</v>
      </c>
      <c r="G41" s="18" t="n">
        <v>47.22414902</v>
      </c>
      <c r="H41" s="20" t="n">
        <v>3.42639791</v>
      </c>
      <c r="I41" s="18" t="s">
        <v>349</v>
      </c>
      <c r="J41" s="20" t="s">
        <v>349</v>
      </c>
      <c r="K41" s="18" t="n">
        <v>0</v>
      </c>
      <c r="L41" s="20" t="n">
        <v>0</v>
      </c>
      <c r="M41" s="18" t="n">
        <v>0</v>
      </c>
      <c r="N41" s="20" t="n">
        <v>0</v>
      </c>
      <c r="O41" s="18" t="n">
        <v>0</v>
      </c>
      <c r="P41" s="20" t="n">
        <v>0</v>
      </c>
      <c r="Q41" s="18" t="n">
        <v>0.37457552</v>
      </c>
      <c r="R41" s="20" t="n">
        <v>0.31840681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(4111.0/B48*100)</f>
        <v/>
      </c>
      <c r="D48" s="19" t="n">
        <v>571</v>
      </c>
      <c r="E48" s="18" t="n">
        <v>35.00601596</v>
      </c>
      <c r="F48" s="20" t="n">
        <v>2.71445718</v>
      </c>
      <c r="G48" s="18" t="n">
        <v>64.20927544</v>
      </c>
      <c r="H48" s="20" t="n">
        <v>2.70646103</v>
      </c>
      <c r="I48" s="18" t="s">
        <v>349</v>
      </c>
      <c r="J48" s="20" t="s">
        <v>349</v>
      </c>
      <c r="K48" s="18" t="n">
        <v>0.38558326</v>
      </c>
      <c r="L48" s="20" t="n">
        <v>0.32939636</v>
      </c>
      <c r="M48" s="18" t="n">
        <v>0</v>
      </c>
      <c r="N48" s="20" t="n">
        <v>0</v>
      </c>
      <c r="O48" s="18" t="n">
        <v>0</v>
      </c>
      <c r="P48" s="20" t="n">
        <v>0</v>
      </c>
      <c r="Q48" s="18" t="n">
        <v>0.39912534</v>
      </c>
      <c r="R48" s="20" t="n">
        <v>0.27953089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(2625.0/B52*100)</f>
        <v/>
      </c>
      <c r="D52" s="19" t="n">
        <v>388</v>
      </c>
      <c r="E52" s="18" t="n">
        <v>40.38384621</v>
      </c>
      <c r="F52" s="20" t="n">
        <v>2.88796973</v>
      </c>
      <c r="G52" s="18" t="n">
        <v>55.21746318</v>
      </c>
      <c r="H52" s="20" t="n">
        <v>2.63219706</v>
      </c>
      <c r="I52" s="18" t="s">
        <v>349</v>
      </c>
      <c r="J52" s="20" t="s">
        <v>349</v>
      </c>
      <c r="K52" s="18" t="n">
        <v>1.7425321</v>
      </c>
      <c r="L52" s="20" t="n">
        <v>0.64497854</v>
      </c>
      <c r="M52" s="18" t="n">
        <v>0</v>
      </c>
      <c r="N52" s="20" t="n">
        <v>0</v>
      </c>
      <c r="O52" s="18" t="n">
        <v>0</v>
      </c>
      <c r="P52" s="20" t="n">
        <v>0</v>
      </c>
      <c r="Q52" s="18" t="n">
        <v>2.65615852</v>
      </c>
      <c r="R52" s="20" t="n">
        <v>0.8716035600000001</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(2349.0/B56*100)</f>
        <v/>
      </c>
      <c r="D56" s="19" t="n">
        <v>326</v>
      </c>
      <c r="E56" s="18" t="n">
        <v>35.80390709</v>
      </c>
      <c r="F56" s="20" t="n">
        <v>2.78071694</v>
      </c>
      <c r="G56" s="18" t="n">
        <v>63.38939225</v>
      </c>
      <c r="H56" s="20" t="n">
        <v>2.82500185</v>
      </c>
      <c r="I56" s="18" t="s">
        <v>349</v>
      </c>
      <c r="J56" s="20" t="s">
        <v>349</v>
      </c>
      <c r="K56" s="18" t="n">
        <v>0</v>
      </c>
      <c r="L56" s="20" t="n">
        <v>0</v>
      </c>
      <c r="M56" s="18" t="n">
        <v>0</v>
      </c>
      <c r="N56" s="20" t="n">
        <v>0</v>
      </c>
      <c r="O56" s="18" t="n">
        <v>0</v>
      </c>
      <c r="P56" s="20" t="n">
        <v>0</v>
      </c>
      <c r="Q56" s="18" t="n">
        <v>0.80670066</v>
      </c>
      <c r="R56" s="20" t="n">
        <v>0.46591486</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(2821.0/B61*100)</f>
        <v/>
      </c>
      <c r="D61" s="19" t="n">
        <v>380</v>
      </c>
      <c r="E61" s="18" t="n">
        <v>54.91793804</v>
      </c>
      <c r="F61" s="20" t="n">
        <v>2.78066259</v>
      </c>
      <c r="G61" s="18" t="n">
        <v>44.27766307</v>
      </c>
      <c r="H61" s="20" t="n">
        <v>2.8237021</v>
      </c>
      <c r="I61" s="18" t="s">
        <v>349</v>
      </c>
      <c r="J61" s="20" t="s">
        <v>349</v>
      </c>
      <c r="K61" s="18" t="n">
        <v>0.7339004099999999</v>
      </c>
      <c r="L61" s="20" t="n">
        <v>0.40587791</v>
      </c>
      <c r="M61" s="18" t="n">
        <v>0</v>
      </c>
      <c r="N61" s="20" t="n">
        <v>0</v>
      </c>
      <c r="O61" s="18" t="n">
        <v>0</v>
      </c>
      <c r="P61" s="20" t="n">
        <v>0</v>
      </c>
      <c r="Q61" s="18" t="n">
        <v>0.07049848</v>
      </c>
      <c r="R61" s="20" t="n">
        <v>0.07061566</v>
      </c>
    </row>
    <row r="62" spans="1:18">
      <c r="A62" s="15" t="s">
        <v>404</v>
      </c>
      <c r="B62" s="17" t="n">
        <v>2230</v>
      </c>
      <c r="C62" s="18">
        <f>(1952.0/B62*100)</f>
        <v/>
      </c>
      <c r="D62" s="19" t="n">
        <v>278</v>
      </c>
      <c r="E62" s="18" t="n">
        <v>38.13235944</v>
      </c>
      <c r="F62" s="20" t="n">
        <v>2.91304421</v>
      </c>
      <c r="G62" s="18" t="n">
        <v>61.86764056</v>
      </c>
      <c r="H62" s="20" t="n">
        <v>2.91304421</v>
      </c>
      <c r="I62" s="18" t="s">
        <v>349</v>
      </c>
      <c r="J62" s="20" t="s">
        <v>349</v>
      </c>
      <c r="K62" s="18" t="n">
        <v>0</v>
      </c>
      <c r="L62" s="20" t="n">
        <v>0</v>
      </c>
      <c r="M62" s="18" t="n">
        <v>0</v>
      </c>
      <c r="N62" s="20" t="n">
        <v>0</v>
      </c>
      <c r="O62" s="18" t="n">
        <v>0</v>
      </c>
      <c r="P62" s="20" t="n">
        <v>0</v>
      </c>
      <c r="Q62" s="18" t="n">
        <v>0</v>
      </c>
      <c r="R62" s="20" t="n">
        <v>0</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(2444.0/B66*100)</f>
        <v/>
      </c>
      <c r="D66" s="19" t="n">
        <v>327</v>
      </c>
      <c r="E66" s="18" t="n">
        <v>50.20826073</v>
      </c>
      <c r="F66" s="20" t="n">
        <v>2.62403173</v>
      </c>
      <c r="G66" s="18" t="n">
        <v>45.56003319</v>
      </c>
      <c r="H66" s="20" t="n">
        <v>2.80639671</v>
      </c>
      <c r="I66" s="18" t="s">
        <v>349</v>
      </c>
      <c r="J66" s="20" t="s">
        <v>349</v>
      </c>
      <c r="K66" s="18" t="n">
        <v>2.17354963</v>
      </c>
      <c r="L66" s="20" t="n">
        <v>0.81713301</v>
      </c>
      <c r="M66" s="18" t="n">
        <v>0</v>
      </c>
      <c r="N66" s="20" t="n">
        <v>0</v>
      </c>
      <c r="O66" s="18" t="n">
        <v>0</v>
      </c>
      <c r="P66" s="20" t="n">
        <v>0</v>
      </c>
      <c r="Q66" s="18" t="n">
        <v>2.05815646</v>
      </c>
      <c r="R66" s="20" t="n">
        <v>0.81407714</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(5032.0/B68*100)</f>
        <v/>
      </c>
      <c r="D68" s="19" t="n">
        <v>1002</v>
      </c>
      <c r="E68" s="18" t="n">
        <v>63.26575789</v>
      </c>
      <c r="F68" s="20" t="n">
        <v>1.38482876</v>
      </c>
      <c r="G68" s="18" t="n">
        <v>33.88290797</v>
      </c>
      <c r="H68" s="20" t="n">
        <v>1.37586775</v>
      </c>
      <c r="I68" s="18" t="s">
        <v>349</v>
      </c>
      <c r="J68" s="20" t="s">
        <v>349</v>
      </c>
      <c r="K68" s="18" t="n">
        <v>1.93405806</v>
      </c>
      <c r="L68" s="20" t="n">
        <v>0.42873192</v>
      </c>
      <c r="M68" s="18" t="n">
        <v>0</v>
      </c>
      <c r="N68" s="20" t="n">
        <v>0</v>
      </c>
      <c r="O68" s="18" t="n">
        <v>0</v>
      </c>
      <c r="P68" s="20" t="n">
        <v>0</v>
      </c>
      <c r="Q68" s="18" t="n">
        <v>0.91727607</v>
      </c>
      <c r="R68" s="20" t="n">
        <v>0.2700382</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(2713.0/B70*100)</f>
        <v/>
      </c>
      <c r="D70" s="19" t="n">
        <v>394</v>
      </c>
      <c r="E70" s="18" t="n">
        <v>33.9054026</v>
      </c>
      <c r="F70" s="20" t="n">
        <v>2.54735588</v>
      </c>
      <c r="G70" s="18" t="n">
        <v>65.24457918</v>
      </c>
      <c r="H70" s="20" t="n">
        <v>2.67107986</v>
      </c>
      <c r="I70" s="18" t="s">
        <v>349</v>
      </c>
      <c r="J70" s="20" t="s">
        <v>349</v>
      </c>
      <c r="K70" s="18" t="n">
        <v>0.50487853</v>
      </c>
      <c r="L70" s="20" t="n">
        <v>0.35511025</v>
      </c>
      <c r="M70" s="18" t="n">
        <v>0</v>
      </c>
      <c r="N70" s="20" t="n">
        <v>0</v>
      </c>
      <c r="O70" s="18" t="n">
        <v>0</v>
      </c>
      <c r="P70" s="20" t="n">
        <v>0</v>
      </c>
      <c r="Q70" s="18" t="n">
        <v>0.34513969</v>
      </c>
      <c r="R70" s="20" t="n">
        <v>0.24727333</v>
      </c>
    </row>
    <row r="71" spans="1:18">
      <c r="A71" s="15" t="s">
        <v>413</v>
      </c>
      <c r="B71" s="17" t="n">
        <v>2973</v>
      </c>
      <c r="C71" s="18">
        <f>(2599.0/B71*100)</f>
        <v/>
      </c>
      <c r="D71" s="19" t="n">
        <v>374</v>
      </c>
      <c r="E71" s="18" t="n">
        <v>35.47853667</v>
      </c>
      <c r="F71" s="20" t="n">
        <v>2.30632645</v>
      </c>
      <c r="G71" s="18" t="n">
        <v>64.25739136</v>
      </c>
      <c r="H71" s="20" t="n">
        <v>2.26998628</v>
      </c>
      <c r="I71" s="18" t="s">
        <v>349</v>
      </c>
      <c r="J71" s="20" t="s">
        <v>349</v>
      </c>
      <c r="K71" s="18" t="n">
        <v>0</v>
      </c>
      <c r="L71" s="20" t="n">
        <v>0</v>
      </c>
      <c r="M71" s="18" t="n">
        <v>0</v>
      </c>
      <c r="N71" s="20" t="n">
        <v>0</v>
      </c>
      <c r="O71" s="18" t="n">
        <v>0</v>
      </c>
      <c r="P71" s="20" t="n">
        <v>0</v>
      </c>
      <c r="Q71" s="18" t="n">
        <v>0.26407198</v>
      </c>
      <c r="R71" s="20" t="n">
        <v>0.2613252</v>
      </c>
    </row>
    <row r="72" spans="1:18">
      <c r="A72" s="15" t="s">
        <v>414</v>
      </c>
      <c r="B72" s="17" t="n">
        <v>3819</v>
      </c>
      <c r="C72" s="18">
        <f>(3341.0/B72*100)</f>
        <v/>
      </c>
      <c r="D72" s="19" t="n">
        <v>478</v>
      </c>
      <c r="E72" s="18" t="n">
        <v>32.42141143</v>
      </c>
      <c r="F72" s="20" t="n">
        <v>2.49562938</v>
      </c>
      <c r="G72" s="18" t="n">
        <v>67.29012627</v>
      </c>
      <c r="H72" s="20" t="n">
        <v>2.53510791</v>
      </c>
      <c r="I72" s="18" t="s">
        <v>349</v>
      </c>
      <c r="J72" s="20" t="s">
        <v>349</v>
      </c>
      <c r="K72" s="18" t="n">
        <v>0</v>
      </c>
      <c r="L72" s="20" t="n">
        <v>0</v>
      </c>
      <c r="M72" s="18" t="n">
        <v>0</v>
      </c>
      <c r="N72" s="20" t="n">
        <v>0</v>
      </c>
      <c r="O72" s="18" t="n">
        <v>0</v>
      </c>
      <c r="P72" s="20" t="n">
        <v>0</v>
      </c>
      <c r="Q72" s="18" t="n">
        <v>0.2884623</v>
      </c>
      <c r="R72" s="20" t="n">
        <v>0.2858278</v>
      </c>
    </row>
    <row r="73" spans="1:18">
      <c r="A73" s="15" t="s">
        <v>415</v>
      </c>
      <c r="B73" s="17" t="n">
        <v>4652</v>
      </c>
      <c r="C73" s="18">
        <f>(4109.0/B73*100)</f>
        <v/>
      </c>
      <c r="D73" s="19" t="n">
        <v>543</v>
      </c>
      <c r="E73" s="18" t="n">
        <v>61.61432872</v>
      </c>
      <c r="F73" s="20" t="n">
        <v>2.44566866</v>
      </c>
      <c r="G73" s="18" t="n">
        <v>38.38567128</v>
      </c>
      <c r="H73" s="20" t="n">
        <v>2.44566866</v>
      </c>
      <c r="I73" s="18" t="s">
        <v>349</v>
      </c>
      <c r="J73" s="20" t="s">
        <v>349</v>
      </c>
      <c r="K73" s="18" t="n">
        <v>0</v>
      </c>
      <c r="L73" s="20" t="n">
        <v>0</v>
      </c>
      <c r="M73" s="18" t="n">
        <v>0</v>
      </c>
      <c r="N73" s="20" t="n">
        <v>0</v>
      </c>
      <c r="O73" s="18" t="n">
        <v>0</v>
      </c>
      <c r="P73" s="20" t="n">
        <v>0</v>
      </c>
      <c r="Q73" s="18" t="n">
        <v>0</v>
      </c>
      <c r="R73" s="20" t="n">
        <v>0</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(4103.0/B81*100)</f>
        <v/>
      </c>
      <c r="D81" s="19" t="n">
        <v>595</v>
      </c>
      <c r="E81" s="18" t="n">
        <v>62.2522534</v>
      </c>
      <c r="F81" s="20" t="n">
        <v>2.37805215</v>
      </c>
      <c r="G81" s="18" t="n">
        <v>37.7477466</v>
      </c>
      <c r="H81" s="20" t="n">
        <v>2.37805215</v>
      </c>
      <c r="I81" s="18" t="s">
        <v>349</v>
      </c>
      <c r="J81" s="20" t="s">
        <v>349</v>
      </c>
      <c r="K81" s="18" t="n">
        <v>0</v>
      </c>
      <c r="L81" s="20" t="n">
        <v>0</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(6298.0/B7*100)</f>
        <v/>
      </c>
      <c r="D7" s="19" t="n">
        <v>865</v>
      </c>
      <c r="E7" s="18" t="n">
        <v>81.51420908</v>
      </c>
      <c r="F7" s="20" t="n">
        <v>1.64759802</v>
      </c>
      <c r="G7" s="18" t="n">
        <v>2.31484414</v>
      </c>
      <c r="H7" s="20" t="n">
        <v>0.71846596</v>
      </c>
      <c r="I7" s="18" t="s">
        <v>349</v>
      </c>
      <c r="J7" s="20" t="s">
        <v>349</v>
      </c>
      <c r="K7" s="18" t="n">
        <v>2.26173114</v>
      </c>
      <c r="L7" s="20" t="n">
        <v>0.51481371</v>
      </c>
      <c r="M7" s="18" t="n">
        <v>0</v>
      </c>
      <c r="N7" s="20" t="n">
        <v>0</v>
      </c>
      <c r="O7" s="18" t="n">
        <v>0</v>
      </c>
      <c r="P7" s="20" t="n">
        <v>0</v>
      </c>
      <c r="Q7" s="18" t="n">
        <v>13.90921563</v>
      </c>
      <c r="R7" s="20" t="n">
        <v>1.37361583</v>
      </c>
    </row>
    <row r="8" spans="1:18">
      <c r="A8" s="15" t="s">
        <v>350</v>
      </c>
      <c r="B8" s="17" t="n">
        <v>3443</v>
      </c>
      <c r="C8" s="18">
        <f>(3012.0/B8*100)</f>
        <v/>
      </c>
      <c r="D8" s="19" t="n">
        <v>431</v>
      </c>
      <c r="E8" s="18" t="n">
        <v>71.98754483</v>
      </c>
      <c r="F8" s="20" t="n">
        <v>2.20694622</v>
      </c>
      <c r="G8" s="18" t="n">
        <v>1.22935656</v>
      </c>
      <c r="H8" s="20" t="n">
        <v>0.49530083</v>
      </c>
      <c r="I8" s="18" t="s">
        <v>349</v>
      </c>
      <c r="J8" s="20" t="s">
        <v>349</v>
      </c>
      <c r="K8" s="18" t="n">
        <v>4.26909814</v>
      </c>
      <c r="L8" s="20" t="n">
        <v>1.1549181</v>
      </c>
      <c r="M8" s="18" t="n">
        <v>0</v>
      </c>
      <c r="N8" s="20" t="n">
        <v>0</v>
      </c>
      <c r="O8" s="18" t="n">
        <v>0</v>
      </c>
      <c r="P8" s="20" t="n">
        <v>0</v>
      </c>
      <c r="Q8" s="18" t="n">
        <v>22.51400047</v>
      </c>
      <c r="R8" s="20" t="n">
        <v>2.17163534</v>
      </c>
    </row>
    <row r="9" spans="1:18">
      <c r="A9" s="15" t="s">
        <v>351</v>
      </c>
      <c r="B9" s="17" t="n">
        <v>4752</v>
      </c>
      <c r="C9" s="18">
        <f>(4172.0/B9*100)</f>
        <v/>
      </c>
      <c r="D9" s="19" t="n">
        <v>580</v>
      </c>
      <c r="E9" s="18" t="n">
        <v>75.00302258000001</v>
      </c>
      <c r="F9" s="20" t="n">
        <v>1.90372778</v>
      </c>
      <c r="G9" s="18" t="n">
        <v>2.72496461</v>
      </c>
      <c r="H9" s="20" t="n">
        <v>0.62251826</v>
      </c>
      <c r="I9" s="18" t="s">
        <v>349</v>
      </c>
      <c r="J9" s="20" t="s">
        <v>349</v>
      </c>
      <c r="K9" s="18" t="n">
        <v>1.28208854</v>
      </c>
      <c r="L9" s="20" t="n">
        <v>0.48805987</v>
      </c>
      <c r="M9" s="18" t="n">
        <v>0</v>
      </c>
      <c r="N9" s="20" t="n">
        <v>0</v>
      </c>
      <c r="O9" s="18" t="n">
        <v>0</v>
      </c>
      <c r="P9" s="20" t="n">
        <v>0</v>
      </c>
      <c r="Q9" s="18" t="n">
        <v>20.98992427</v>
      </c>
      <c r="R9" s="20" t="n">
        <v>1.906764</v>
      </c>
    </row>
    <row r="10" spans="1:18">
      <c r="A10" s="15" t="s">
        <v>352</v>
      </c>
      <c r="B10" s="17" t="n">
        <v>10022</v>
      </c>
      <c r="C10" s="18">
        <f>(8801.0/B10*100)</f>
        <v/>
      </c>
      <c r="D10" s="19" t="n">
        <v>1221</v>
      </c>
      <c r="E10" s="18" t="n">
        <v>84.11275144</v>
      </c>
      <c r="F10" s="20" t="n">
        <v>1.67842586</v>
      </c>
      <c r="G10" s="18" t="n">
        <v>2.0412398</v>
      </c>
      <c r="H10" s="20" t="n">
        <v>0.56144438</v>
      </c>
      <c r="I10" s="18" t="s">
        <v>349</v>
      </c>
      <c r="J10" s="20" t="s">
        <v>349</v>
      </c>
      <c r="K10" s="18" t="n">
        <v>1.04599761</v>
      </c>
      <c r="L10" s="20" t="n">
        <v>0.4038827</v>
      </c>
      <c r="M10" s="18" t="n">
        <v>0</v>
      </c>
      <c r="N10" s="20" t="n">
        <v>0</v>
      </c>
      <c r="O10" s="18" t="n">
        <v>0</v>
      </c>
      <c r="P10" s="20" t="n">
        <v>0</v>
      </c>
      <c r="Q10" s="18" t="n">
        <v>12.80001115</v>
      </c>
      <c r="R10" s="20" t="n">
        <v>1.63529228</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(3008.0/B12*100)</f>
        <v/>
      </c>
      <c r="D12" s="19" t="n">
        <v>414</v>
      </c>
      <c r="E12" s="18" t="n">
        <v>80.8727501</v>
      </c>
      <c r="F12" s="20" t="n">
        <v>1.84817618</v>
      </c>
      <c r="G12" s="18" t="n">
        <v>3.07720694</v>
      </c>
      <c r="H12" s="20" t="n">
        <v>0.8208912</v>
      </c>
      <c r="I12" s="18" t="s">
        <v>349</v>
      </c>
      <c r="J12" s="20" t="s">
        <v>349</v>
      </c>
      <c r="K12" s="18" t="n">
        <v>5.28812808</v>
      </c>
      <c r="L12" s="20" t="n">
        <v>1.20835281</v>
      </c>
      <c r="M12" s="18" t="n">
        <v>0</v>
      </c>
      <c r="N12" s="20" t="n">
        <v>0</v>
      </c>
      <c r="O12" s="18" t="n">
        <v>0</v>
      </c>
      <c r="P12" s="20" t="n">
        <v>0</v>
      </c>
      <c r="Q12" s="18" t="n">
        <v>10.76191488</v>
      </c>
      <c r="R12" s="20" t="n">
        <v>1.41434278</v>
      </c>
    </row>
    <row r="13" spans="1:18">
      <c r="A13" s="15" t="s">
        <v>355</v>
      </c>
      <c r="B13" s="17" t="n">
        <v>3602</v>
      </c>
      <c r="C13" s="18">
        <f>(3184.0/B13*100)</f>
        <v/>
      </c>
      <c r="D13" s="19" t="n">
        <v>418</v>
      </c>
      <c r="E13" s="18" t="n">
        <v>85.29391445</v>
      </c>
      <c r="F13" s="20" t="n">
        <v>1.83725301</v>
      </c>
      <c r="G13" s="18" t="n">
        <v>0.76534414</v>
      </c>
      <c r="H13" s="20" t="n">
        <v>0.65203462</v>
      </c>
      <c r="I13" s="18" t="s">
        <v>349</v>
      </c>
      <c r="J13" s="20" t="s">
        <v>349</v>
      </c>
      <c r="K13" s="18" t="n">
        <v>3.26196828</v>
      </c>
      <c r="L13" s="20" t="n">
        <v>0.98559927</v>
      </c>
      <c r="M13" s="18" t="n">
        <v>0</v>
      </c>
      <c r="N13" s="20" t="n">
        <v>0</v>
      </c>
      <c r="O13" s="18" t="n">
        <v>0</v>
      </c>
      <c r="P13" s="20" t="n">
        <v>0</v>
      </c>
      <c r="Q13" s="18" t="n">
        <v>10.67877314</v>
      </c>
      <c r="R13" s="20" t="n">
        <v>1.53298795</v>
      </c>
    </row>
    <row r="14" spans="1:18">
      <c r="A14" s="15" t="s">
        <v>356</v>
      </c>
      <c r="B14" s="17" t="n">
        <v>2788</v>
      </c>
      <c r="C14" s="18">
        <f>(2455.0/B14*100)</f>
        <v/>
      </c>
      <c r="D14" s="19" t="n">
        <v>333</v>
      </c>
      <c r="E14" s="18" t="n">
        <v>76.20493406999999</v>
      </c>
      <c r="F14" s="20" t="n">
        <v>2.47744551</v>
      </c>
      <c r="G14" s="18" t="n">
        <v>3.06473089</v>
      </c>
      <c r="H14" s="20" t="n">
        <v>1.15282993</v>
      </c>
      <c r="I14" s="18" t="s">
        <v>349</v>
      </c>
      <c r="J14" s="20" t="s">
        <v>349</v>
      </c>
      <c r="K14" s="18" t="n">
        <v>1.96342846</v>
      </c>
      <c r="L14" s="20" t="n">
        <v>0.87653662</v>
      </c>
      <c r="M14" s="18" t="n">
        <v>0</v>
      </c>
      <c r="N14" s="20" t="n">
        <v>0</v>
      </c>
      <c r="O14" s="18" t="n">
        <v>0</v>
      </c>
      <c r="P14" s="20" t="n">
        <v>0</v>
      </c>
      <c r="Q14" s="18" t="n">
        <v>18.76690658</v>
      </c>
      <c r="R14" s="20" t="n">
        <v>2.44648007</v>
      </c>
    </row>
    <row r="15" spans="1:18">
      <c r="A15" s="15" t="s">
        <v>357</v>
      </c>
      <c r="B15" s="17" t="n">
        <v>2863</v>
      </c>
      <c r="C15" s="18">
        <f>(2517.0/B15*100)</f>
        <v/>
      </c>
      <c r="D15" s="19" t="n">
        <v>346</v>
      </c>
      <c r="E15" s="18" t="n">
        <v>78.15255609</v>
      </c>
      <c r="F15" s="20" t="n">
        <v>2.1940479</v>
      </c>
      <c r="G15" s="18" t="n">
        <v>2.36398852</v>
      </c>
      <c r="H15" s="20" t="n">
        <v>0.87544995</v>
      </c>
      <c r="I15" s="18" t="s">
        <v>349</v>
      </c>
      <c r="J15" s="20" t="s">
        <v>349</v>
      </c>
      <c r="K15" s="18" t="n">
        <v>2.02193489</v>
      </c>
      <c r="L15" s="20" t="n">
        <v>0.75062851</v>
      </c>
      <c r="M15" s="18" t="n">
        <v>0</v>
      </c>
      <c r="N15" s="20" t="n">
        <v>0</v>
      </c>
      <c r="O15" s="18" t="n">
        <v>0</v>
      </c>
      <c r="P15" s="20" t="n">
        <v>0</v>
      </c>
      <c r="Q15" s="18" t="n">
        <v>17.4615205</v>
      </c>
      <c r="R15" s="20" t="n">
        <v>2.10216599</v>
      </c>
    </row>
    <row r="16" spans="1:18">
      <c r="A16" s="15" t="s">
        <v>358</v>
      </c>
      <c r="B16" s="17" t="n">
        <v>3111</v>
      </c>
      <c r="C16" s="18">
        <f>(2738.0/B16*100)</f>
        <v/>
      </c>
      <c r="D16" s="19" t="n">
        <v>373</v>
      </c>
      <c r="E16" s="18" t="n">
        <v>68.19533202</v>
      </c>
      <c r="F16" s="20" t="n">
        <v>2.33395161</v>
      </c>
      <c r="G16" s="18" t="n">
        <v>2.28861921</v>
      </c>
      <c r="H16" s="20" t="n">
        <v>0.69896409</v>
      </c>
      <c r="I16" s="18" t="s">
        <v>349</v>
      </c>
      <c r="J16" s="20" t="s">
        <v>349</v>
      </c>
      <c r="K16" s="18" t="n">
        <v>4.51602129</v>
      </c>
      <c r="L16" s="20" t="n">
        <v>1.14988959</v>
      </c>
      <c r="M16" s="18" t="n">
        <v>0</v>
      </c>
      <c r="N16" s="20" t="n">
        <v>0</v>
      </c>
      <c r="O16" s="18" t="n">
        <v>0</v>
      </c>
      <c r="P16" s="20" t="n">
        <v>0</v>
      </c>
      <c r="Q16" s="18" t="n">
        <v>25.00002748</v>
      </c>
      <c r="R16" s="20" t="n">
        <v>2.23259722</v>
      </c>
    </row>
    <row r="17" spans="1:18">
      <c r="A17" s="15" t="s">
        <v>359</v>
      </c>
      <c r="B17" s="17" t="n">
        <v>3197</v>
      </c>
      <c r="C17" s="18">
        <f>(2795.0/B17*100)</f>
        <v/>
      </c>
      <c r="D17" s="19" t="n">
        <v>402</v>
      </c>
      <c r="E17" s="18" t="n">
        <v>68.82564442</v>
      </c>
      <c r="F17" s="20" t="n">
        <v>2.42089897</v>
      </c>
      <c r="G17" s="18" t="n">
        <v>2.81947615</v>
      </c>
      <c r="H17" s="20" t="n">
        <v>0.82879747</v>
      </c>
      <c r="I17" s="18" t="s">
        <v>349</v>
      </c>
      <c r="J17" s="20" t="s">
        <v>349</v>
      </c>
      <c r="K17" s="18" t="n">
        <v>3.30415401</v>
      </c>
      <c r="L17" s="20" t="n">
        <v>0.84467679</v>
      </c>
      <c r="M17" s="18" t="n">
        <v>0</v>
      </c>
      <c r="N17" s="20" t="n">
        <v>0</v>
      </c>
      <c r="O17" s="18" t="n">
        <v>0</v>
      </c>
      <c r="P17" s="20" t="n">
        <v>0</v>
      </c>
      <c r="Q17" s="18" t="n">
        <v>25.05072542</v>
      </c>
      <c r="R17" s="20" t="n">
        <v>2.57543598</v>
      </c>
    </row>
    <row r="18" spans="1:18">
      <c r="A18" s="15" t="s">
        <v>360</v>
      </c>
      <c r="B18" s="17" t="n">
        <v>2706</v>
      </c>
      <c r="C18" s="18">
        <f>(2393.0/B18*100)</f>
        <v/>
      </c>
      <c r="D18" s="19" t="n">
        <v>313</v>
      </c>
      <c r="E18" s="18" t="n">
        <v>79.05965103</v>
      </c>
      <c r="F18" s="20" t="n">
        <v>2.30454447</v>
      </c>
      <c r="G18" s="18" t="n">
        <v>1.32396507</v>
      </c>
      <c r="H18" s="20" t="n">
        <v>0.57553389</v>
      </c>
      <c r="I18" s="18" t="s">
        <v>349</v>
      </c>
      <c r="J18" s="20" t="s">
        <v>349</v>
      </c>
      <c r="K18" s="18" t="n">
        <v>2.28193419</v>
      </c>
      <c r="L18" s="20" t="n">
        <v>1.10252883</v>
      </c>
      <c r="M18" s="18" t="n">
        <v>0</v>
      </c>
      <c r="N18" s="20" t="n">
        <v>0</v>
      </c>
      <c r="O18" s="18" t="n">
        <v>0</v>
      </c>
      <c r="P18" s="20" t="n">
        <v>0</v>
      </c>
      <c r="Q18" s="18" t="n">
        <v>17.33444971</v>
      </c>
      <c r="R18" s="20" t="n">
        <v>2.08884299</v>
      </c>
    </row>
    <row r="19" spans="1:18">
      <c r="A19" s="15" t="s">
        <v>361</v>
      </c>
      <c r="B19" s="17" t="n">
        <v>2850</v>
      </c>
      <c r="C19" s="18">
        <f>(2513.0/B19*100)</f>
        <v/>
      </c>
      <c r="D19" s="19" t="n">
        <v>337</v>
      </c>
      <c r="E19" s="18" t="n">
        <v>73.45950025</v>
      </c>
      <c r="F19" s="20" t="n">
        <v>2.37305128</v>
      </c>
      <c r="G19" s="18" t="n">
        <v>3.06506074</v>
      </c>
      <c r="H19" s="20" t="n">
        <v>0.94901493</v>
      </c>
      <c r="I19" s="18" t="s">
        <v>349</v>
      </c>
      <c r="J19" s="20" t="s">
        <v>349</v>
      </c>
      <c r="K19" s="18" t="n">
        <v>2.25778717</v>
      </c>
      <c r="L19" s="20" t="n">
        <v>1.02979339</v>
      </c>
      <c r="M19" s="18" t="n">
        <v>0</v>
      </c>
      <c r="N19" s="20" t="n">
        <v>0</v>
      </c>
      <c r="O19" s="18" t="n">
        <v>0</v>
      </c>
      <c r="P19" s="20" t="n">
        <v>0</v>
      </c>
      <c r="Q19" s="18" t="n">
        <v>21.21765183</v>
      </c>
      <c r="R19" s="20" t="n">
        <v>2.18412652</v>
      </c>
    </row>
    <row r="20" spans="1:18">
      <c r="A20" s="15" t="s">
        <v>362</v>
      </c>
      <c r="B20" s="17" t="n">
        <v>1741</v>
      </c>
      <c r="C20" s="18">
        <f>(1526.0/B20*100)</f>
        <v/>
      </c>
      <c r="D20" s="19" t="n">
        <v>215</v>
      </c>
      <c r="E20" s="18" t="n">
        <v>79.18722097</v>
      </c>
      <c r="F20" s="20" t="n">
        <v>2.76791686</v>
      </c>
      <c r="G20" s="18" t="n">
        <v>0</v>
      </c>
      <c r="H20" s="20" t="n">
        <v>0</v>
      </c>
      <c r="I20" s="18" t="s">
        <v>349</v>
      </c>
      <c r="J20" s="20" t="s">
        <v>349</v>
      </c>
      <c r="K20" s="18" t="n">
        <v>1.99278518</v>
      </c>
      <c r="L20" s="20" t="n">
        <v>0.97550599</v>
      </c>
      <c r="M20" s="18" t="n">
        <v>0</v>
      </c>
      <c r="N20" s="20" t="n">
        <v>0</v>
      </c>
      <c r="O20" s="18" t="n">
        <v>0</v>
      </c>
      <c r="P20" s="20" t="n">
        <v>0</v>
      </c>
      <c r="Q20" s="18" t="n">
        <v>18.81999385</v>
      </c>
      <c r="R20" s="20" t="n">
        <v>2.65031282</v>
      </c>
    </row>
    <row r="21" spans="1:18">
      <c r="A21" s="15" t="s">
        <v>363</v>
      </c>
      <c r="B21" s="17" t="n">
        <v>2833</v>
      </c>
      <c r="C21" s="18">
        <f>(2380.0/B21*100)</f>
        <v/>
      </c>
      <c r="D21" s="19" t="n">
        <v>453</v>
      </c>
      <c r="E21" s="18" t="n">
        <v>83.39564075</v>
      </c>
      <c r="F21" s="20" t="n">
        <v>1.86108914</v>
      </c>
      <c r="G21" s="18" t="n">
        <v>0.80606048</v>
      </c>
      <c r="H21" s="20" t="n">
        <v>0.39975473</v>
      </c>
      <c r="I21" s="18" t="s">
        <v>349</v>
      </c>
      <c r="J21" s="20" t="s">
        <v>349</v>
      </c>
      <c r="K21" s="18" t="n">
        <v>0.34923917</v>
      </c>
      <c r="L21" s="20" t="n">
        <v>0.24593773</v>
      </c>
      <c r="M21" s="18" t="n">
        <v>0</v>
      </c>
      <c r="N21" s="20" t="n">
        <v>0</v>
      </c>
      <c r="O21" s="18" t="n">
        <v>0</v>
      </c>
      <c r="P21" s="20" t="n">
        <v>0</v>
      </c>
      <c r="Q21" s="18" t="n">
        <v>15.4490596</v>
      </c>
      <c r="R21" s="20" t="n">
        <v>1.73818997</v>
      </c>
    </row>
    <row r="22" spans="1:18">
      <c r="A22" s="15" t="s">
        <v>364</v>
      </c>
      <c r="B22" s="17" t="n">
        <v>3667</v>
      </c>
      <c r="C22" s="18">
        <f>(3195.0/B22*100)</f>
        <v/>
      </c>
      <c r="D22" s="19" t="n">
        <v>472</v>
      </c>
      <c r="E22" s="18" t="n">
        <v>68.25149215</v>
      </c>
      <c r="F22" s="20" t="n">
        <v>2.02830937</v>
      </c>
      <c r="G22" s="18" t="n">
        <v>0.6689947000000001</v>
      </c>
      <c r="H22" s="20" t="n">
        <v>0.39051959</v>
      </c>
      <c r="I22" s="18" t="s">
        <v>349</v>
      </c>
      <c r="J22" s="20" t="s">
        <v>349</v>
      </c>
      <c r="K22" s="18" t="n">
        <v>4.86214846</v>
      </c>
      <c r="L22" s="20" t="n">
        <v>1.03674577</v>
      </c>
      <c r="M22" s="18" t="n">
        <v>0</v>
      </c>
      <c r="N22" s="20" t="n">
        <v>0</v>
      </c>
      <c r="O22" s="18" t="n">
        <v>0</v>
      </c>
      <c r="P22" s="20" t="n">
        <v>0</v>
      </c>
      <c r="Q22" s="18" t="n">
        <v>26.21736468</v>
      </c>
      <c r="R22" s="20" t="n">
        <v>2.04690808</v>
      </c>
    </row>
    <row r="23" spans="1:18">
      <c r="A23" s="15" t="s">
        <v>365</v>
      </c>
      <c r="B23" s="17" t="n">
        <v>5792</v>
      </c>
      <c r="C23" s="18">
        <f>(5081.0/B23*100)</f>
        <v/>
      </c>
      <c r="D23" s="19" t="n">
        <v>711</v>
      </c>
      <c r="E23" s="18" t="n">
        <v>62.2194231</v>
      </c>
      <c r="F23" s="20" t="n">
        <v>2.22549646</v>
      </c>
      <c r="G23" s="18" t="n">
        <v>5.43080632</v>
      </c>
      <c r="H23" s="20" t="n">
        <v>1.10222714</v>
      </c>
      <c r="I23" s="18" t="s">
        <v>349</v>
      </c>
      <c r="J23" s="20" t="s">
        <v>349</v>
      </c>
      <c r="K23" s="18" t="n">
        <v>5.28048434</v>
      </c>
      <c r="L23" s="20" t="n">
        <v>1.19400574</v>
      </c>
      <c r="M23" s="18" t="n">
        <v>0</v>
      </c>
      <c r="N23" s="20" t="n">
        <v>0</v>
      </c>
      <c r="O23" s="18" t="n">
        <v>0</v>
      </c>
      <c r="P23" s="20" t="n">
        <v>0</v>
      </c>
      <c r="Q23" s="18" t="n">
        <v>27.06928623</v>
      </c>
      <c r="R23" s="20" t="n">
        <v>1.99183551</v>
      </c>
    </row>
    <row r="24" spans="1:18">
      <c r="A24" s="15" t="s">
        <v>366</v>
      </c>
      <c r="B24" s="17" t="n">
        <v>3309</v>
      </c>
      <c r="C24" s="18">
        <f>(2932.0/B24*100)</f>
        <v/>
      </c>
      <c r="D24" s="19" t="n">
        <v>377</v>
      </c>
      <c r="E24" s="18" t="n">
        <v>50.20492167</v>
      </c>
      <c r="F24" s="20" t="n">
        <v>2.79012762</v>
      </c>
      <c r="G24" s="18" t="n">
        <v>10.48933997</v>
      </c>
      <c r="H24" s="20" t="n">
        <v>1.60909824</v>
      </c>
      <c r="I24" s="18" t="s">
        <v>349</v>
      </c>
      <c r="J24" s="20" t="s">
        <v>349</v>
      </c>
      <c r="K24" s="18" t="n">
        <v>1.53610028</v>
      </c>
      <c r="L24" s="20" t="n">
        <v>0.70893596</v>
      </c>
      <c r="M24" s="18" t="n">
        <v>0</v>
      </c>
      <c r="N24" s="20" t="n">
        <v>0</v>
      </c>
      <c r="O24" s="18" t="n">
        <v>0</v>
      </c>
      <c r="P24" s="20" t="n">
        <v>0</v>
      </c>
      <c r="Q24" s="18" t="n">
        <v>37.76963808</v>
      </c>
      <c r="R24" s="20" t="n">
        <v>2.9046321</v>
      </c>
    </row>
    <row r="25" spans="1:18">
      <c r="A25" s="15" t="s">
        <v>367</v>
      </c>
      <c r="B25" s="17" t="n">
        <v>2669</v>
      </c>
      <c r="C25" s="18">
        <f>(2361.0/B25*100)</f>
        <v/>
      </c>
      <c r="D25" s="19" t="n">
        <v>308</v>
      </c>
      <c r="E25" s="18" t="n">
        <v>63.34963115</v>
      </c>
      <c r="F25" s="20" t="n">
        <v>3.01916702</v>
      </c>
      <c r="G25" s="18" t="n">
        <v>11.81262095</v>
      </c>
      <c r="H25" s="20" t="n">
        <v>1.94414388</v>
      </c>
      <c r="I25" s="18" t="s">
        <v>349</v>
      </c>
      <c r="J25" s="20" t="s">
        <v>349</v>
      </c>
      <c r="K25" s="18" t="n">
        <v>1.29434888</v>
      </c>
      <c r="L25" s="20" t="n">
        <v>0.63429725</v>
      </c>
      <c r="M25" s="18" t="n">
        <v>0</v>
      </c>
      <c r="N25" s="20" t="n">
        <v>0</v>
      </c>
      <c r="O25" s="18" t="n">
        <v>0</v>
      </c>
      <c r="P25" s="20" t="n">
        <v>0</v>
      </c>
      <c r="Q25" s="18" t="n">
        <v>23.54339901</v>
      </c>
      <c r="R25" s="20" t="n">
        <v>2.72532958</v>
      </c>
    </row>
    <row r="26" spans="1:18">
      <c r="A26" s="15" t="s">
        <v>368</v>
      </c>
      <c r="B26" s="17" t="n">
        <v>2419</v>
      </c>
      <c r="C26" s="18">
        <f>(2108.0/B26*100)</f>
        <v/>
      </c>
      <c r="D26" s="19" t="n">
        <v>311</v>
      </c>
      <c r="E26" s="18" t="n">
        <v>80.15242859</v>
      </c>
      <c r="F26" s="20" t="n">
        <v>2.11605683</v>
      </c>
      <c r="G26" s="18" t="n">
        <v>1.91873471</v>
      </c>
      <c r="H26" s="20" t="n">
        <v>0.68950313</v>
      </c>
      <c r="I26" s="18" t="s">
        <v>349</v>
      </c>
      <c r="J26" s="20" t="s">
        <v>349</v>
      </c>
      <c r="K26" s="18" t="n">
        <v>0.56623199</v>
      </c>
      <c r="L26" s="20" t="n">
        <v>0.39701225</v>
      </c>
      <c r="M26" s="18" t="n">
        <v>0</v>
      </c>
      <c r="N26" s="20" t="n">
        <v>0</v>
      </c>
      <c r="O26" s="18" t="n">
        <v>0</v>
      </c>
      <c r="P26" s="20" t="n">
        <v>0</v>
      </c>
      <c r="Q26" s="18" t="n">
        <v>17.36260472</v>
      </c>
      <c r="R26" s="20" t="n">
        <v>2.07838248</v>
      </c>
    </row>
    <row r="27" spans="1:18">
      <c r="A27" s="15" t="s">
        <v>369</v>
      </c>
      <c r="B27" s="17" t="n">
        <v>2683</v>
      </c>
      <c r="C27" s="18">
        <f>(2361.0/B27*100)</f>
        <v/>
      </c>
      <c r="D27" s="19" t="n">
        <v>322</v>
      </c>
      <c r="E27" s="18" t="n">
        <v>69.77592227</v>
      </c>
      <c r="F27" s="20" t="n">
        <v>2.78436778</v>
      </c>
      <c r="G27" s="18" t="n">
        <v>1.2303361</v>
      </c>
      <c r="H27" s="20" t="n">
        <v>0.6805558900000001</v>
      </c>
      <c r="I27" s="18" t="s">
        <v>349</v>
      </c>
      <c r="J27" s="20" t="s">
        <v>349</v>
      </c>
      <c r="K27" s="18" t="n">
        <v>5.95279704</v>
      </c>
      <c r="L27" s="20" t="n">
        <v>1.34908783</v>
      </c>
      <c r="M27" s="18" t="n">
        <v>0</v>
      </c>
      <c r="N27" s="20" t="n">
        <v>0</v>
      </c>
      <c r="O27" s="18" t="n">
        <v>0</v>
      </c>
      <c r="P27" s="20" t="n">
        <v>0</v>
      </c>
      <c r="Q27" s="18" t="n">
        <v>23.04094459</v>
      </c>
      <c r="R27" s="20" t="n">
        <v>2.38532102</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(2375.0/B29*100)</f>
        <v/>
      </c>
      <c r="D29" s="19" t="n">
        <v>325</v>
      </c>
      <c r="E29" s="18" t="n">
        <v>84.49670454</v>
      </c>
      <c r="F29" s="20" t="n">
        <v>2.35732863</v>
      </c>
      <c r="G29" s="18" t="n">
        <v>2.55938268</v>
      </c>
      <c r="H29" s="20" t="n">
        <v>1.07698486</v>
      </c>
      <c r="I29" s="18" t="s">
        <v>349</v>
      </c>
      <c r="J29" s="20" t="s">
        <v>349</v>
      </c>
      <c r="K29" s="18" t="n">
        <v>1.80641722</v>
      </c>
      <c r="L29" s="20" t="n">
        <v>0.70927219</v>
      </c>
      <c r="M29" s="18" t="n">
        <v>0</v>
      </c>
      <c r="N29" s="20" t="n">
        <v>0</v>
      </c>
      <c r="O29" s="18" t="n">
        <v>0</v>
      </c>
      <c r="P29" s="20" t="n">
        <v>0</v>
      </c>
      <c r="Q29" s="18" t="n">
        <v>11.13749556</v>
      </c>
      <c r="R29" s="20" t="n">
        <v>1.89929531</v>
      </c>
    </row>
    <row r="30" spans="1:18">
      <c r="A30" s="15" t="s">
        <v>372</v>
      </c>
      <c r="B30" s="17" t="n">
        <v>2257</v>
      </c>
      <c r="C30" s="18">
        <f>(1977.0/B30*100)</f>
        <v/>
      </c>
      <c r="D30" s="19" t="n">
        <v>280</v>
      </c>
      <c r="E30" s="18" t="n">
        <v>74.74495825</v>
      </c>
      <c r="F30" s="20" t="n">
        <v>2.77241087</v>
      </c>
      <c r="G30" s="18" t="n">
        <v>1.50996613</v>
      </c>
      <c r="H30" s="20" t="n">
        <v>0.75798151</v>
      </c>
      <c r="I30" s="18" t="s">
        <v>349</v>
      </c>
      <c r="J30" s="20" t="s">
        <v>349</v>
      </c>
      <c r="K30" s="18" t="n">
        <v>5.85931245</v>
      </c>
      <c r="L30" s="20" t="n">
        <v>1.55717167</v>
      </c>
      <c r="M30" s="18" t="n">
        <v>0</v>
      </c>
      <c r="N30" s="20" t="n">
        <v>0</v>
      </c>
      <c r="O30" s="18" t="n">
        <v>0</v>
      </c>
      <c r="P30" s="20" t="n">
        <v>0</v>
      </c>
      <c r="Q30" s="18" t="n">
        <v>17.88576317</v>
      </c>
      <c r="R30" s="20" t="n">
        <v>2.49543748</v>
      </c>
    </row>
    <row r="31" spans="1:18">
      <c r="A31" s="15" t="s">
        <v>373</v>
      </c>
      <c r="B31" s="17" t="n">
        <v>2706</v>
      </c>
      <c r="C31" s="18">
        <f>(2364.0/B31*100)</f>
        <v/>
      </c>
      <c r="D31" s="19" t="n">
        <v>342</v>
      </c>
      <c r="E31" s="18" t="n">
        <v>72.79267908999999</v>
      </c>
      <c r="F31" s="20" t="n">
        <v>2.49841677</v>
      </c>
      <c r="G31" s="18" t="n">
        <v>1.36676379</v>
      </c>
      <c r="H31" s="20" t="n">
        <v>0.60620377</v>
      </c>
      <c r="I31" s="18" t="s">
        <v>349</v>
      </c>
      <c r="J31" s="20" t="s">
        <v>349</v>
      </c>
      <c r="K31" s="18" t="n">
        <v>4.25765146</v>
      </c>
      <c r="L31" s="20" t="n">
        <v>1.0373153</v>
      </c>
      <c r="M31" s="18" t="n">
        <v>0</v>
      </c>
      <c r="N31" s="20" t="n">
        <v>0</v>
      </c>
      <c r="O31" s="18" t="n">
        <v>0</v>
      </c>
      <c r="P31" s="20" t="n">
        <v>0</v>
      </c>
      <c r="Q31" s="18" t="n">
        <v>21.58290567</v>
      </c>
      <c r="R31" s="20" t="n">
        <v>2.42230675</v>
      </c>
    </row>
    <row r="32" spans="1:18">
      <c r="A32" s="15" t="s">
        <v>374</v>
      </c>
      <c r="B32" s="17" t="n">
        <v>2209</v>
      </c>
      <c r="C32" s="18">
        <f>(1834.0/B32*100)</f>
        <v/>
      </c>
      <c r="D32" s="19" t="n">
        <v>375</v>
      </c>
      <c r="E32" s="18" t="n">
        <v>69.25486134000001</v>
      </c>
      <c r="F32" s="20" t="n">
        <v>2.3644605</v>
      </c>
      <c r="G32" s="18" t="n">
        <v>3.42164457</v>
      </c>
      <c r="H32" s="20" t="n">
        <v>0.94793441</v>
      </c>
      <c r="I32" s="18" t="s">
        <v>349</v>
      </c>
      <c r="J32" s="20" t="s">
        <v>349</v>
      </c>
      <c r="K32" s="18" t="n">
        <v>2.78351907</v>
      </c>
      <c r="L32" s="20" t="n">
        <v>0.74197842</v>
      </c>
      <c r="M32" s="18" t="n">
        <v>0</v>
      </c>
      <c r="N32" s="20" t="n">
        <v>0</v>
      </c>
      <c r="O32" s="18" t="n">
        <v>0</v>
      </c>
      <c r="P32" s="20" t="n">
        <v>0</v>
      </c>
      <c r="Q32" s="18" t="n">
        <v>24.53997502</v>
      </c>
      <c r="R32" s="20" t="n">
        <v>2.17361747</v>
      </c>
    </row>
    <row r="33" spans="1:18">
      <c r="A33" s="15" t="s">
        <v>375</v>
      </c>
      <c r="B33" s="17" t="n">
        <v>3651</v>
      </c>
      <c r="C33" s="18">
        <f>(3209.0/B33*100)</f>
        <v/>
      </c>
      <c r="D33" s="19" t="n">
        <v>442</v>
      </c>
      <c r="E33" s="18" t="n">
        <v>73.26601465</v>
      </c>
      <c r="F33" s="20" t="n">
        <v>3.15687258</v>
      </c>
      <c r="G33" s="18" t="n">
        <v>6.35813342</v>
      </c>
      <c r="H33" s="20" t="n">
        <v>1.36782248</v>
      </c>
      <c r="I33" s="18" t="s">
        <v>349</v>
      </c>
      <c r="J33" s="20" t="s">
        <v>349</v>
      </c>
      <c r="K33" s="18" t="n">
        <v>3.36678486</v>
      </c>
      <c r="L33" s="20" t="n">
        <v>0.96764695</v>
      </c>
      <c r="M33" s="18" t="n">
        <v>0</v>
      </c>
      <c r="N33" s="20" t="n">
        <v>0</v>
      </c>
      <c r="O33" s="18" t="n">
        <v>0</v>
      </c>
      <c r="P33" s="20" t="n">
        <v>0</v>
      </c>
      <c r="Q33" s="18" t="n">
        <v>17.00906707</v>
      </c>
      <c r="R33" s="20" t="n">
        <v>2.27745832</v>
      </c>
    </row>
    <row r="34" spans="1:18">
      <c r="A34" s="15" t="s">
        <v>376</v>
      </c>
      <c r="B34" s="17" t="n">
        <v>3035</v>
      </c>
      <c r="C34" s="18">
        <f>(2645.0/B34*100)</f>
        <v/>
      </c>
      <c r="D34" s="19" t="n">
        <v>390</v>
      </c>
      <c r="E34" s="18" t="n">
        <v>76.66300362</v>
      </c>
      <c r="F34" s="20" t="n">
        <v>2.00667517</v>
      </c>
      <c r="G34" s="18" t="n">
        <v>2.31256548</v>
      </c>
      <c r="H34" s="20" t="n">
        <v>0.8306252</v>
      </c>
      <c r="I34" s="18" t="s">
        <v>349</v>
      </c>
      <c r="J34" s="20" t="s">
        <v>349</v>
      </c>
      <c r="K34" s="18" t="n">
        <v>3.06070428</v>
      </c>
      <c r="L34" s="20" t="n">
        <v>0.85099292</v>
      </c>
      <c r="M34" s="18" t="n">
        <v>0</v>
      </c>
      <c r="N34" s="20" t="n">
        <v>0</v>
      </c>
      <c r="O34" s="18" t="n">
        <v>0</v>
      </c>
      <c r="P34" s="20" t="n">
        <v>0</v>
      </c>
      <c r="Q34" s="18" t="n">
        <v>17.96372663</v>
      </c>
      <c r="R34" s="20" t="n">
        <v>1.78316385</v>
      </c>
    </row>
    <row r="35" spans="1:18">
      <c r="A35" s="15" t="s">
        <v>377</v>
      </c>
      <c r="B35" s="17" t="n">
        <v>2901</v>
      </c>
      <c r="C35" s="18">
        <f>(2533.0/B35*100)</f>
        <v/>
      </c>
      <c r="D35" s="19" t="n">
        <v>368</v>
      </c>
      <c r="E35" s="18" t="n">
        <v>74.44856398</v>
      </c>
      <c r="F35" s="20" t="n">
        <v>2.74024425</v>
      </c>
      <c r="G35" s="18" t="n">
        <v>3.25992898</v>
      </c>
      <c r="H35" s="20" t="n">
        <v>1.04003474</v>
      </c>
      <c r="I35" s="18" t="s">
        <v>349</v>
      </c>
      <c r="J35" s="20" t="s">
        <v>349</v>
      </c>
      <c r="K35" s="18" t="n">
        <v>0.52910734</v>
      </c>
      <c r="L35" s="20" t="n">
        <v>0.28295905</v>
      </c>
      <c r="M35" s="18" t="n">
        <v>0</v>
      </c>
      <c r="N35" s="20" t="n">
        <v>0</v>
      </c>
      <c r="O35" s="18" t="n">
        <v>0</v>
      </c>
      <c r="P35" s="20" t="n">
        <v>0</v>
      </c>
      <c r="Q35" s="18" t="n">
        <v>21.7623997</v>
      </c>
      <c r="R35" s="20" t="n">
        <v>2.54191992</v>
      </c>
    </row>
    <row r="36" spans="1:18">
      <c r="A36" s="15" t="s">
        <v>378</v>
      </c>
      <c r="B36" s="17" t="n">
        <v>3404</v>
      </c>
      <c r="C36" s="18">
        <f>(2996.0/B36*100)</f>
        <v/>
      </c>
      <c r="D36" s="19" t="n">
        <v>408</v>
      </c>
      <c r="E36" s="18" t="n">
        <v>68.00278614</v>
      </c>
      <c r="F36" s="20" t="n">
        <v>2.78164046</v>
      </c>
      <c r="G36" s="18" t="n">
        <v>3.41418446</v>
      </c>
      <c r="H36" s="20" t="n">
        <v>1.14705377</v>
      </c>
      <c r="I36" s="18" t="s">
        <v>349</v>
      </c>
      <c r="J36" s="20" t="s">
        <v>349</v>
      </c>
      <c r="K36" s="18" t="n">
        <v>1.73604688</v>
      </c>
      <c r="L36" s="20" t="n">
        <v>0.76993464</v>
      </c>
      <c r="M36" s="18" t="n">
        <v>0</v>
      </c>
      <c r="N36" s="20" t="n">
        <v>0</v>
      </c>
      <c r="O36" s="18" t="n">
        <v>0</v>
      </c>
      <c r="P36" s="20" t="n">
        <v>0</v>
      </c>
      <c r="Q36" s="18" t="n">
        <v>26.84698253</v>
      </c>
      <c r="R36" s="20" t="n">
        <v>2.7827124</v>
      </c>
    </row>
    <row r="37" spans="1:18">
      <c r="A37" s="15" t="s">
        <v>379</v>
      </c>
      <c r="B37" s="17" t="n">
        <v>2731</v>
      </c>
      <c r="C37" s="18">
        <f>(2405.0/B37*100)</f>
        <v/>
      </c>
      <c r="D37" s="19" t="n">
        <v>326</v>
      </c>
      <c r="E37" s="18" t="n">
        <v>60.2955571</v>
      </c>
      <c r="F37" s="20" t="n">
        <v>2.58241744</v>
      </c>
      <c r="G37" s="18" t="n">
        <v>0.48416597</v>
      </c>
      <c r="H37" s="20" t="n">
        <v>0.48258179</v>
      </c>
      <c r="I37" s="18" t="s">
        <v>349</v>
      </c>
      <c r="J37" s="20" t="s">
        <v>349</v>
      </c>
      <c r="K37" s="18" t="n">
        <v>10.58282797</v>
      </c>
      <c r="L37" s="20" t="n">
        <v>2.04877801</v>
      </c>
      <c r="M37" s="18" t="n">
        <v>0</v>
      </c>
      <c r="N37" s="20" t="n">
        <v>0</v>
      </c>
      <c r="O37" s="18" t="n">
        <v>0</v>
      </c>
      <c r="P37" s="20" t="n">
        <v>0</v>
      </c>
      <c r="Q37" s="18" t="n">
        <v>28.63744896</v>
      </c>
      <c r="R37" s="20" t="n">
        <v>2.34182476</v>
      </c>
    </row>
    <row r="38" spans="1:18">
      <c r="A38" s="15" t="s">
        <v>380</v>
      </c>
      <c r="B38" s="17" t="n">
        <v>2807</v>
      </c>
      <c r="C38" s="18">
        <f>(2360.0/B38*100)</f>
        <v/>
      </c>
      <c r="D38" s="19" t="n">
        <v>447</v>
      </c>
      <c r="E38" s="18" t="n">
        <v>69.59274781000001</v>
      </c>
      <c r="F38" s="20" t="n">
        <v>2.18239909</v>
      </c>
      <c r="G38" s="18" t="n">
        <v>5.0153809</v>
      </c>
      <c r="H38" s="20" t="n">
        <v>1.12979513</v>
      </c>
      <c r="I38" s="18" t="s">
        <v>349</v>
      </c>
      <c r="J38" s="20" t="s">
        <v>349</v>
      </c>
      <c r="K38" s="18" t="n">
        <v>3.31200752</v>
      </c>
      <c r="L38" s="20" t="n">
        <v>0.84532891</v>
      </c>
      <c r="M38" s="18" t="n">
        <v>0</v>
      </c>
      <c r="N38" s="20" t="n">
        <v>0</v>
      </c>
      <c r="O38" s="18" t="n">
        <v>0</v>
      </c>
      <c r="P38" s="20" t="n">
        <v>0</v>
      </c>
      <c r="Q38" s="18" t="n">
        <v>22.07986377</v>
      </c>
      <c r="R38" s="20" t="n">
        <v>1.99011953</v>
      </c>
    </row>
    <row r="39" spans="1:18">
      <c r="A39" s="15" t="s">
        <v>381</v>
      </c>
      <c r="B39" s="17" t="n">
        <v>2938</v>
      </c>
      <c r="C39" s="18">
        <f>(2566.0/B39*100)</f>
        <v/>
      </c>
      <c r="D39" s="19" t="n">
        <v>372</v>
      </c>
      <c r="E39" s="18" t="n">
        <v>85.42026439</v>
      </c>
      <c r="F39" s="20" t="n">
        <v>1.97661173</v>
      </c>
      <c r="G39" s="18" t="n">
        <v>0.58118709</v>
      </c>
      <c r="H39" s="20" t="n">
        <v>0.41544409</v>
      </c>
      <c r="I39" s="18" t="s">
        <v>349</v>
      </c>
      <c r="J39" s="20" t="s">
        <v>349</v>
      </c>
      <c r="K39" s="18" t="n">
        <v>1.15187403</v>
      </c>
      <c r="L39" s="20" t="n">
        <v>0.49867696</v>
      </c>
      <c r="M39" s="18" t="n">
        <v>0</v>
      </c>
      <c r="N39" s="20" t="n">
        <v>0</v>
      </c>
      <c r="O39" s="18" t="n">
        <v>0</v>
      </c>
      <c r="P39" s="20" t="n">
        <v>0</v>
      </c>
      <c r="Q39" s="18" t="n">
        <v>12.84667448</v>
      </c>
      <c r="R39" s="20" t="n">
        <v>1.84675701</v>
      </c>
    </row>
    <row r="40" spans="1:18">
      <c r="A40" s="15" t="s">
        <v>382</v>
      </c>
      <c r="B40" s="17" t="n">
        <v>6922</v>
      </c>
      <c r="C40" s="18">
        <f>(6014.0/B40*100)</f>
        <v/>
      </c>
      <c r="D40" s="19" t="n">
        <v>908</v>
      </c>
      <c r="E40" s="18" t="n">
        <v>76.67198344000001</v>
      </c>
      <c r="F40" s="20" t="n">
        <v>2.29388295</v>
      </c>
      <c r="G40" s="18" t="n">
        <v>1.22890953</v>
      </c>
      <c r="H40" s="20" t="n">
        <v>0.73298509</v>
      </c>
      <c r="I40" s="18" t="s">
        <v>349</v>
      </c>
      <c r="J40" s="20" t="s">
        <v>349</v>
      </c>
      <c r="K40" s="18" t="n">
        <v>3.75257106</v>
      </c>
      <c r="L40" s="20" t="n">
        <v>0.90989118</v>
      </c>
      <c r="M40" s="18" t="n">
        <v>0</v>
      </c>
      <c r="N40" s="20" t="n">
        <v>0</v>
      </c>
      <c r="O40" s="18" t="n">
        <v>0</v>
      </c>
      <c r="P40" s="20" t="n">
        <v>0</v>
      </c>
      <c r="Q40" s="18" t="n">
        <v>18.34653597</v>
      </c>
      <c r="R40" s="20" t="n">
        <v>1.9861305</v>
      </c>
    </row>
    <row r="41" spans="1:18">
      <c r="A41" s="15" t="s">
        <v>383</v>
      </c>
      <c r="B41" s="17" t="n">
        <v>2854</v>
      </c>
      <c r="C41" s="18">
        <f>(2496.0/B41*100)</f>
        <v/>
      </c>
      <c r="D41" s="19" t="n">
        <v>358</v>
      </c>
      <c r="E41" s="18" t="n">
        <v>92.70726671</v>
      </c>
      <c r="F41" s="20" t="n">
        <v>1.40626281</v>
      </c>
      <c r="G41" s="18" t="n">
        <v>0.25228753</v>
      </c>
      <c r="H41" s="20" t="n">
        <v>0.22740049</v>
      </c>
      <c r="I41" s="18" t="s">
        <v>349</v>
      </c>
      <c r="J41" s="20" t="s">
        <v>349</v>
      </c>
      <c r="K41" s="18" t="n">
        <v>1.06008849</v>
      </c>
      <c r="L41" s="20" t="n">
        <v>0.52403662</v>
      </c>
      <c r="M41" s="18" t="n">
        <v>0</v>
      </c>
      <c r="N41" s="20" t="n">
        <v>0</v>
      </c>
      <c r="O41" s="18" t="n">
        <v>0</v>
      </c>
      <c r="P41" s="20" t="n">
        <v>0</v>
      </c>
      <c r="Q41" s="18" t="n">
        <v>5.98035727</v>
      </c>
      <c r="R41" s="20" t="n">
        <v>1.43454309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(4112.0/B48*100)</f>
        <v/>
      </c>
      <c r="D48" s="19" t="n">
        <v>570</v>
      </c>
      <c r="E48" s="18" t="n">
        <v>63.53771272</v>
      </c>
      <c r="F48" s="20" t="n">
        <v>2.7171299</v>
      </c>
      <c r="G48" s="18" t="n">
        <v>26.31278315</v>
      </c>
      <c r="H48" s="20" t="n">
        <v>2.22458388</v>
      </c>
      <c r="I48" s="18" t="s">
        <v>349</v>
      </c>
      <c r="J48" s="20" t="s">
        <v>349</v>
      </c>
      <c r="K48" s="18" t="n">
        <v>1.61399618</v>
      </c>
      <c r="L48" s="20" t="n">
        <v>0.98116277</v>
      </c>
      <c r="M48" s="18" t="n">
        <v>0</v>
      </c>
      <c r="N48" s="20" t="n">
        <v>0</v>
      </c>
      <c r="O48" s="18" t="n">
        <v>0</v>
      </c>
      <c r="P48" s="20" t="n">
        <v>0</v>
      </c>
      <c r="Q48" s="18" t="n">
        <v>8.53550795</v>
      </c>
      <c r="R48" s="20" t="n">
        <v>1.46575005</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(2625.0/B52*100)</f>
        <v/>
      </c>
      <c r="D52" s="19" t="n">
        <v>388</v>
      </c>
      <c r="E52" s="18" t="n">
        <v>61.75411648</v>
      </c>
      <c r="F52" s="20" t="n">
        <v>2.93106211</v>
      </c>
      <c r="G52" s="18" t="n">
        <v>2.05465083</v>
      </c>
      <c r="H52" s="20" t="n">
        <v>0.67075655</v>
      </c>
      <c r="I52" s="18" t="s">
        <v>349</v>
      </c>
      <c r="J52" s="20" t="s">
        <v>349</v>
      </c>
      <c r="K52" s="18" t="n">
        <v>5.52221052</v>
      </c>
      <c r="L52" s="20" t="n">
        <v>0.9330569399999999</v>
      </c>
      <c r="M52" s="18" t="n">
        <v>0</v>
      </c>
      <c r="N52" s="20" t="n">
        <v>0</v>
      </c>
      <c r="O52" s="18" t="n">
        <v>0</v>
      </c>
      <c r="P52" s="20" t="n">
        <v>0</v>
      </c>
      <c r="Q52" s="18" t="n">
        <v>30.66902216</v>
      </c>
      <c r="R52" s="20" t="n">
        <v>2.83363631</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80.05132699000001</v>
      </c>
      <c r="F56" s="20" t="n">
        <v>2.32485011</v>
      </c>
      <c r="G56" s="18" t="n">
        <v>9.440082090000001</v>
      </c>
      <c r="H56" s="20" t="n">
        <v>1.76415915</v>
      </c>
      <c r="I56" s="18" t="s">
        <v>349</v>
      </c>
      <c r="J56" s="20" t="s">
        <v>349</v>
      </c>
      <c r="K56" s="18" t="n">
        <v>0.87937042</v>
      </c>
      <c r="L56" s="20" t="n">
        <v>0.5531719</v>
      </c>
      <c r="M56" s="18" t="n">
        <v>0</v>
      </c>
      <c r="N56" s="20" t="n">
        <v>0</v>
      </c>
      <c r="O56" s="18" t="n">
        <v>0</v>
      </c>
      <c r="P56" s="20" t="n">
        <v>0</v>
      </c>
      <c r="Q56" s="18" t="n">
        <v>9.629220500000001</v>
      </c>
      <c r="R56" s="20" t="n">
        <v>1.7190008</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(2821.0/B61*100)</f>
        <v/>
      </c>
      <c r="D61" s="19" t="n">
        <v>380</v>
      </c>
      <c r="E61" s="18" t="n">
        <v>78.22025671</v>
      </c>
      <c r="F61" s="20" t="n">
        <v>2.32493305</v>
      </c>
      <c r="G61" s="18" t="n">
        <v>1.75779492</v>
      </c>
      <c r="H61" s="20" t="n">
        <v>0.72116483</v>
      </c>
      <c r="I61" s="18" t="s">
        <v>349</v>
      </c>
      <c r="J61" s="20" t="s">
        <v>349</v>
      </c>
      <c r="K61" s="18" t="n">
        <v>3.86130482</v>
      </c>
      <c r="L61" s="20" t="n">
        <v>0.94806844</v>
      </c>
      <c r="M61" s="18" t="n">
        <v>0</v>
      </c>
      <c r="N61" s="20" t="n">
        <v>0</v>
      </c>
      <c r="O61" s="18" t="n">
        <v>0</v>
      </c>
      <c r="P61" s="20" t="n">
        <v>0</v>
      </c>
      <c r="Q61" s="18" t="n">
        <v>16.16064355</v>
      </c>
      <c r="R61" s="20" t="n">
        <v>2.18357599</v>
      </c>
    </row>
    <row r="62" spans="1:18">
      <c r="A62" s="15" t="s">
        <v>404</v>
      </c>
      <c r="B62" s="17" t="n">
        <v>2230</v>
      </c>
      <c r="C62" s="18">
        <f>(1955.0/B62*100)</f>
        <v/>
      </c>
      <c r="D62" s="19" t="n">
        <v>275</v>
      </c>
      <c r="E62" s="18" t="n">
        <v>77.10382</v>
      </c>
      <c r="F62" s="20" t="n">
        <v>2.5459861</v>
      </c>
      <c r="G62" s="18" t="n">
        <v>15.22209872</v>
      </c>
      <c r="H62" s="20" t="n">
        <v>2.2173232</v>
      </c>
      <c r="I62" s="18" t="s">
        <v>349</v>
      </c>
      <c r="J62" s="20" t="s">
        <v>349</v>
      </c>
      <c r="K62" s="18" t="n">
        <v>0</v>
      </c>
      <c r="L62" s="20" t="n">
        <v>0</v>
      </c>
      <c r="M62" s="18" t="n">
        <v>0</v>
      </c>
      <c r="N62" s="20" t="n">
        <v>0</v>
      </c>
      <c r="O62" s="18" t="n">
        <v>0</v>
      </c>
      <c r="P62" s="20" t="n">
        <v>0</v>
      </c>
      <c r="Q62" s="18" t="n">
        <v>7.67408128</v>
      </c>
      <c r="R62" s="20" t="n">
        <v>1.43004348</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(2444.0/B66*100)</f>
        <v/>
      </c>
      <c r="D66" s="19" t="n">
        <v>327</v>
      </c>
      <c r="E66" s="18" t="n">
        <v>60.158755</v>
      </c>
      <c r="F66" s="20" t="n">
        <v>2.53790023</v>
      </c>
      <c r="G66" s="18" t="n">
        <v>2.64365589</v>
      </c>
      <c r="H66" s="20" t="n">
        <v>0.79137188</v>
      </c>
      <c r="I66" s="18" t="s">
        <v>349</v>
      </c>
      <c r="J66" s="20" t="s">
        <v>349</v>
      </c>
      <c r="K66" s="18" t="n">
        <v>8.30339873</v>
      </c>
      <c r="L66" s="20" t="n">
        <v>1.53566165</v>
      </c>
      <c r="M66" s="18" t="n">
        <v>0</v>
      </c>
      <c r="N66" s="20" t="n">
        <v>0</v>
      </c>
      <c r="O66" s="18" t="n">
        <v>0</v>
      </c>
      <c r="P66" s="20" t="n">
        <v>0</v>
      </c>
      <c r="Q66" s="18" t="n">
        <v>28.89419037</v>
      </c>
      <c r="R66" s="20" t="n">
        <v>2.6050152</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(5031.0/B68*100)</f>
        <v/>
      </c>
      <c r="D68" s="19" t="n">
        <v>1003</v>
      </c>
      <c r="E68" s="18" t="n">
        <v>82.98717243</v>
      </c>
      <c r="F68" s="20" t="n">
        <v>1.09263646</v>
      </c>
      <c r="G68" s="18" t="n">
        <v>0.91564301</v>
      </c>
      <c r="H68" s="20" t="n">
        <v>0.30314009</v>
      </c>
      <c r="I68" s="18" t="s">
        <v>349</v>
      </c>
      <c r="J68" s="20" t="s">
        <v>349</v>
      </c>
      <c r="K68" s="18" t="n">
        <v>5.16536711</v>
      </c>
      <c r="L68" s="20" t="n">
        <v>0.73041793</v>
      </c>
      <c r="M68" s="18" t="n">
        <v>0</v>
      </c>
      <c r="N68" s="20" t="n">
        <v>0</v>
      </c>
      <c r="O68" s="18" t="n">
        <v>0</v>
      </c>
      <c r="P68" s="20" t="n">
        <v>0</v>
      </c>
      <c r="Q68" s="18" t="n">
        <v>10.93181745</v>
      </c>
      <c r="R68" s="20" t="n">
        <v>0.82551712</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(2713.0/B70*100)</f>
        <v/>
      </c>
      <c r="D70" s="19" t="n">
        <v>394</v>
      </c>
      <c r="E70" s="18" t="n">
        <v>80.75389914</v>
      </c>
      <c r="F70" s="20" t="n">
        <v>2.54809429</v>
      </c>
      <c r="G70" s="18" t="n">
        <v>6.24708751</v>
      </c>
      <c r="H70" s="20" t="n">
        <v>1.35846859</v>
      </c>
      <c r="I70" s="18" t="s">
        <v>349</v>
      </c>
      <c r="J70" s="20" t="s">
        <v>349</v>
      </c>
      <c r="K70" s="18" t="n">
        <v>3.27530299</v>
      </c>
      <c r="L70" s="20" t="n">
        <v>1.27947926</v>
      </c>
      <c r="M70" s="18" t="n">
        <v>0</v>
      </c>
      <c r="N70" s="20" t="n">
        <v>0</v>
      </c>
      <c r="O70" s="18" t="n">
        <v>0</v>
      </c>
      <c r="P70" s="20" t="n">
        <v>0</v>
      </c>
      <c r="Q70" s="18" t="n">
        <v>9.72371036</v>
      </c>
      <c r="R70" s="20" t="n">
        <v>1.75816789</v>
      </c>
    </row>
    <row r="71" spans="1:18">
      <c r="A71" s="15" t="s">
        <v>413</v>
      </c>
      <c r="B71" s="17" t="n">
        <v>2973</v>
      </c>
      <c r="C71" s="18">
        <f>(2599.0/B71*100)</f>
        <v/>
      </c>
      <c r="D71" s="19" t="n">
        <v>374</v>
      </c>
      <c r="E71" s="18" t="n">
        <v>79.35417955</v>
      </c>
      <c r="F71" s="20" t="n">
        <v>2.27235412</v>
      </c>
      <c r="G71" s="18" t="n">
        <v>11.03167361</v>
      </c>
      <c r="H71" s="20" t="n">
        <v>1.81369037</v>
      </c>
      <c r="I71" s="18" t="s">
        <v>349</v>
      </c>
      <c r="J71" s="20" t="s">
        <v>349</v>
      </c>
      <c r="K71" s="18" t="n">
        <v>0.7008194800000001</v>
      </c>
      <c r="L71" s="20" t="n">
        <v>0.40436171</v>
      </c>
      <c r="M71" s="18" t="n">
        <v>0</v>
      </c>
      <c r="N71" s="20" t="n">
        <v>0</v>
      </c>
      <c r="O71" s="18" t="n">
        <v>0</v>
      </c>
      <c r="P71" s="20" t="n">
        <v>0</v>
      </c>
      <c r="Q71" s="18" t="n">
        <v>8.913327349999999</v>
      </c>
      <c r="R71" s="20" t="n">
        <v>1.57906322</v>
      </c>
    </row>
    <row r="72" spans="1:18">
      <c r="A72" s="15" t="s">
        <v>414</v>
      </c>
      <c r="B72" s="17" t="n">
        <v>3819</v>
      </c>
      <c r="C72" s="18">
        <f>(3341.0/B72*100)</f>
        <v/>
      </c>
      <c r="D72" s="19" t="n">
        <v>478</v>
      </c>
      <c r="E72" s="18" t="n">
        <v>61.17456051</v>
      </c>
      <c r="F72" s="20" t="n">
        <v>2.61170194</v>
      </c>
      <c r="G72" s="18" t="n">
        <v>24.71962293</v>
      </c>
      <c r="H72" s="20" t="n">
        <v>2.57231038</v>
      </c>
      <c r="I72" s="18" t="s">
        <v>349</v>
      </c>
      <c r="J72" s="20" t="s">
        <v>349</v>
      </c>
      <c r="K72" s="18" t="n">
        <v>2.09200829</v>
      </c>
      <c r="L72" s="20" t="n">
        <v>0.7407148</v>
      </c>
      <c r="M72" s="18" t="n">
        <v>0</v>
      </c>
      <c r="N72" s="20" t="n">
        <v>0</v>
      </c>
      <c r="O72" s="18" t="n">
        <v>0</v>
      </c>
      <c r="P72" s="20" t="n">
        <v>0</v>
      </c>
      <c r="Q72" s="18" t="n">
        <v>12.01380826</v>
      </c>
      <c r="R72" s="20" t="n">
        <v>1.66657115</v>
      </c>
    </row>
    <row r="73" spans="1:18">
      <c r="A73" s="15" t="s">
        <v>415</v>
      </c>
      <c r="B73" s="17" t="n">
        <v>4652</v>
      </c>
      <c r="C73" s="18">
        <f>(4113.0/B73*100)</f>
        <v/>
      </c>
      <c r="D73" s="19" t="n">
        <v>539</v>
      </c>
      <c r="E73" s="18" t="n">
        <v>94.06725562</v>
      </c>
      <c r="F73" s="20" t="n">
        <v>1.25848478</v>
      </c>
      <c r="G73" s="18" t="n">
        <v>2.49113283</v>
      </c>
      <c r="H73" s="20" t="n">
        <v>1.10720633</v>
      </c>
      <c r="I73" s="18" t="s">
        <v>349</v>
      </c>
      <c r="J73" s="20" t="s">
        <v>349</v>
      </c>
      <c r="K73" s="18" t="n">
        <v>0.25274357</v>
      </c>
      <c r="L73" s="20" t="n">
        <v>0.25373915</v>
      </c>
      <c r="M73" s="18" t="n">
        <v>0</v>
      </c>
      <c r="N73" s="20" t="n">
        <v>0</v>
      </c>
      <c r="O73" s="18" t="n">
        <v>0</v>
      </c>
      <c r="P73" s="20" t="n">
        <v>0</v>
      </c>
      <c r="Q73" s="18" t="n">
        <v>3.18886799</v>
      </c>
      <c r="R73" s="20" t="n">
        <v>0.73161434</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(4103.0/B81*100)</f>
        <v/>
      </c>
      <c r="D81" s="19" t="n">
        <v>595</v>
      </c>
      <c r="E81" s="18" t="n">
        <v>95.84070049</v>
      </c>
      <c r="F81" s="20" t="n">
        <v>1.11104424</v>
      </c>
      <c r="G81" s="18" t="n">
        <v>1.00843416</v>
      </c>
      <c r="H81" s="20" t="n">
        <v>0.4795804</v>
      </c>
      <c r="I81" s="18" t="s">
        <v>349</v>
      </c>
      <c r="J81" s="20" t="s">
        <v>349</v>
      </c>
      <c r="K81" s="18" t="n">
        <v>0.01421132</v>
      </c>
      <c r="L81" s="20" t="n">
        <v>0.01416017</v>
      </c>
      <c r="M81" s="18" t="n">
        <v>0</v>
      </c>
      <c r="N81" s="20" t="n">
        <v>0</v>
      </c>
      <c r="O81" s="18" t="n">
        <v>0</v>
      </c>
      <c r="P81" s="20" t="n">
        <v>0</v>
      </c>
      <c r="Q81" s="18" t="n">
        <v>3.13665403</v>
      </c>
      <c r="R81" s="20" t="n">
        <v>1.00665261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(6315.0/B7*100)</f>
        <v/>
      </c>
      <c r="D7" s="19" t="n">
        <v>848</v>
      </c>
      <c r="E7" s="18" t="n">
        <v>45.24154412</v>
      </c>
      <c r="F7" s="20" t="n">
        <v>1.97956379</v>
      </c>
      <c r="G7" s="18" t="n">
        <v>45.61156481</v>
      </c>
      <c r="H7" s="20" t="n">
        <v>1.99933427</v>
      </c>
      <c r="I7" s="18" t="s">
        <v>349</v>
      </c>
      <c r="J7" s="20" t="s">
        <v>349</v>
      </c>
      <c r="K7" s="18" t="n">
        <v>3.24137266</v>
      </c>
      <c r="L7" s="20" t="n">
        <v>0.56454123</v>
      </c>
      <c r="M7" s="18" t="n">
        <v>0.0121663</v>
      </c>
      <c r="N7" s="20" t="n">
        <v>0.01237357</v>
      </c>
      <c r="O7" s="18" t="n">
        <v>0</v>
      </c>
      <c r="P7" s="20" t="n">
        <v>0</v>
      </c>
      <c r="Q7" s="18" t="n">
        <v>5.89335212</v>
      </c>
      <c r="R7" s="20" t="n">
        <v>0.79083573</v>
      </c>
    </row>
    <row r="8" spans="1:18">
      <c r="A8" s="15" t="s">
        <v>350</v>
      </c>
      <c r="B8" s="17" t="n">
        <v>3443</v>
      </c>
      <c r="C8" s="18">
        <f>(3017.0/B8*100)</f>
        <v/>
      </c>
      <c r="D8" s="19" t="n">
        <v>426</v>
      </c>
      <c r="E8" s="18" t="n">
        <v>45.9620944</v>
      </c>
      <c r="F8" s="20" t="n">
        <v>2.93295955</v>
      </c>
      <c r="G8" s="18" t="n">
        <v>38.45410096</v>
      </c>
      <c r="H8" s="20" t="n">
        <v>2.97192324</v>
      </c>
      <c r="I8" s="18" t="s">
        <v>349</v>
      </c>
      <c r="J8" s="20" t="s">
        <v>349</v>
      </c>
      <c r="K8" s="18" t="n">
        <v>6.40020374</v>
      </c>
      <c r="L8" s="20" t="n">
        <v>1.28604953</v>
      </c>
      <c r="M8" s="18" t="n">
        <v>0</v>
      </c>
      <c r="N8" s="20" t="n">
        <v>0</v>
      </c>
      <c r="O8" s="18" t="n">
        <v>0</v>
      </c>
      <c r="P8" s="20" t="n">
        <v>0</v>
      </c>
      <c r="Q8" s="18" t="n">
        <v>9.1836009</v>
      </c>
      <c r="R8" s="20" t="n">
        <v>1.92565649</v>
      </c>
    </row>
    <row r="9" spans="1:18">
      <c r="A9" s="15" t="s">
        <v>351</v>
      </c>
      <c r="B9" s="17" t="n">
        <v>4752</v>
      </c>
      <c r="C9" s="18">
        <f>(4193.0/B9*100)</f>
        <v/>
      </c>
      <c r="D9" s="19" t="n">
        <v>559</v>
      </c>
      <c r="E9" s="18" t="n">
        <v>41.65592498</v>
      </c>
      <c r="F9" s="20" t="n">
        <v>2.40717194</v>
      </c>
      <c r="G9" s="18" t="n">
        <v>48.37326368</v>
      </c>
      <c r="H9" s="20" t="n">
        <v>2.44399989</v>
      </c>
      <c r="I9" s="18" t="s">
        <v>349</v>
      </c>
      <c r="J9" s="20" t="s">
        <v>349</v>
      </c>
      <c r="K9" s="18" t="n">
        <v>3.25192673</v>
      </c>
      <c r="L9" s="20" t="n">
        <v>0.83315357</v>
      </c>
      <c r="M9" s="18" t="n">
        <v>0.30250459</v>
      </c>
      <c r="N9" s="20" t="n">
        <v>0.21241571</v>
      </c>
      <c r="O9" s="18" t="n">
        <v>0</v>
      </c>
      <c r="P9" s="20" t="n">
        <v>0</v>
      </c>
      <c r="Q9" s="18" t="n">
        <v>6.41638003</v>
      </c>
      <c r="R9" s="20" t="n">
        <v>1.07500831</v>
      </c>
    </row>
    <row r="10" spans="1:18">
      <c r="A10" s="15" t="s">
        <v>352</v>
      </c>
      <c r="B10" s="17" t="n">
        <v>10022</v>
      </c>
      <c r="C10" s="18">
        <f>(8808.0/B10*100)</f>
        <v/>
      </c>
      <c r="D10" s="19" t="n">
        <v>1214</v>
      </c>
      <c r="E10" s="18" t="n">
        <v>39.31100867</v>
      </c>
      <c r="F10" s="20" t="n">
        <v>1.91346804</v>
      </c>
      <c r="G10" s="18" t="n">
        <v>54.05045612</v>
      </c>
      <c r="H10" s="20" t="n">
        <v>2.05958036</v>
      </c>
      <c r="I10" s="18" t="s">
        <v>349</v>
      </c>
      <c r="J10" s="20" t="s">
        <v>349</v>
      </c>
      <c r="K10" s="18" t="n">
        <v>1.89473514</v>
      </c>
      <c r="L10" s="20" t="n">
        <v>0.64186467</v>
      </c>
      <c r="M10" s="18" t="n">
        <v>1.23759833</v>
      </c>
      <c r="N10" s="20" t="n">
        <v>0.38712817</v>
      </c>
      <c r="O10" s="18" t="n">
        <v>0</v>
      </c>
      <c r="P10" s="20" t="n">
        <v>0</v>
      </c>
      <c r="Q10" s="18" t="n">
        <v>3.50620174</v>
      </c>
      <c r="R10" s="20" t="n">
        <v>0.70765835</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(3017.0/B12*100)</f>
        <v/>
      </c>
      <c r="D12" s="19" t="n">
        <v>405</v>
      </c>
      <c r="E12" s="18" t="n">
        <v>51.57766682</v>
      </c>
      <c r="F12" s="20" t="n">
        <v>2.34002976</v>
      </c>
      <c r="G12" s="18" t="n">
        <v>27.46113472</v>
      </c>
      <c r="H12" s="20" t="n">
        <v>2.30528563</v>
      </c>
      <c r="I12" s="18" t="s">
        <v>349</v>
      </c>
      <c r="J12" s="20" t="s">
        <v>349</v>
      </c>
      <c r="K12" s="18" t="n">
        <v>8.25066103</v>
      </c>
      <c r="L12" s="20" t="n">
        <v>1.60360995</v>
      </c>
      <c r="M12" s="18" t="n">
        <v>0</v>
      </c>
      <c r="N12" s="20" t="n">
        <v>0</v>
      </c>
      <c r="O12" s="18" t="n">
        <v>0</v>
      </c>
      <c r="P12" s="20" t="n">
        <v>0</v>
      </c>
      <c r="Q12" s="18" t="n">
        <v>12.71053743</v>
      </c>
      <c r="R12" s="20" t="n">
        <v>1.9946611</v>
      </c>
    </row>
    <row r="13" spans="1:18">
      <c r="A13" s="15" t="s">
        <v>355</v>
      </c>
      <c r="B13" s="17" t="n">
        <v>3602</v>
      </c>
      <c r="C13" s="18">
        <f>(3189.0/B13*100)</f>
        <v/>
      </c>
      <c r="D13" s="19" t="n">
        <v>413</v>
      </c>
      <c r="E13" s="18" t="n">
        <v>41.72105738</v>
      </c>
      <c r="F13" s="20" t="n">
        <v>2.63310793</v>
      </c>
      <c r="G13" s="18" t="n">
        <v>46.06745544</v>
      </c>
      <c r="H13" s="20" t="n">
        <v>3.22202236</v>
      </c>
      <c r="I13" s="18" t="s">
        <v>349</v>
      </c>
      <c r="J13" s="20" t="s">
        <v>349</v>
      </c>
      <c r="K13" s="18" t="n">
        <v>3.48874419</v>
      </c>
      <c r="L13" s="20" t="n">
        <v>0.99918257</v>
      </c>
      <c r="M13" s="18" t="n">
        <v>0.09007486000000001</v>
      </c>
      <c r="N13" s="20" t="n">
        <v>0.09214575999999999</v>
      </c>
      <c r="O13" s="18" t="n">
        <v>0</v>
      </c>
      <c r="P13" s="20" t="n">
        <v>0</v>
      </c>
      <c r="Q13" s="18" t="n">
        <v>8.632668130000001</v>
      </c>
      <c r="R13" s="20" t="n">
        <v>1.63997012</v>
      </c>
    </row>
    <row r="14" spans="1:18">
      <c r="A14" s="15" t="s">
        <v>356</v>
      </c>
      <c r="B14" s="17" t="n">
        <v>2788</v>
      </c>
      <c r="C14" s="18">
        <f>(2461.0/B14*100)</f>
        <v/>
      </c>
      <c r="D14" s="19" t="n">
        <v>327</v>
      </c>
      <c r="E14" s="18" t="n">
        <v>38.00632262</v>
      </c>
      <c r="F14" s="20" t="n">
        <v>2.93533026</v>
      </c>
      <c r="G14" s="18" t="n">
        <v>56.54606139</v>
      </c>
      <c r="H14" s="20" t="n">
        <v>3.01176412</v>
      </c>
      <c r="I14" s="18" t="s">
        <v>349</v>
      </c>
      <c r="J14" s="20" t="s">
        <v>349</v>
      </c>
      <c r="K14" s="18" t="n">
        <v>2.94575016</v>
      </c>
      <c r="L14" s="20" t="n">
        <v>0.9552045300000001</v>
      </c>
      <c r="M14" s="18" t="n">
        <v>0</v>
      </c>
      <c r="N14" s="20" t="n">
        <v>0</v>
      </c>
      <c r="O14" s="18" t="n">
        <v>0</v>
      </c>
      <c r="P14" s="20" t="n">
        <v>0</v>
      </c>
      <c r="Q14" s="18" t="n">
        <v>2.50186583</v>
      </c>
      <c r="R14" s="20" t="n">
        <v>0.98285382</v>
      </c>
    </row>
    <row r="15" spans="1:18">
      <c r="A15" s="15" t="s">
        <v>357</v>
      </c>
      <c r="B15" s="17" t="n">
        <v>2863</v>
      </c>
      <c r="C15" s="18">
        <f>(2524.0/B15*100)</f>
        <v/>
      </c>
      <c r="D15" s="19" t="n">
        <v>339</v>
      </c>
      <c r="E15" s="18" t="n">
        <v>41.97556485</v>
      </c>
      <c r="F15" s="20" t="n">
        <v>2.86558598</v>
      </c>
      <c r="G15" s="18" t="n">
        <v>52.17672953</v>
      </c>
      <c r="H15" s="20" t="n">
        <v>2.91087442</v>
      </c>
      <c r="I15" s="18" t="s">
        <v>349</v>
      </c>
      <c r="J15" s="20" t="s">
        <v>349</v>
      </c>
      <c r="K15" s="18" t="n">
        <v>3.848324</v>
      </c>
      <c r="L15" s="20" t="n">
        <v>0.99078375</v>
      </c>
      <c r="M15" s="18" t="n">
        <v>0</v>
      </c>
      <c r="N15" s="20" t="n">
        <v>0</v>
      </c>
      <c r="O15" s="18" t="n">
        <v>0</v>
      </c>
      <c r="P15" s="20" t="n">
        <v>0</v>
      </c>
      <c r="Q15" s="18" t="n">
        <v>1.99938162</v>
      </c>
      <c r="R15" s="20" t="n">
        <v>0.75423386</v>
      </c>
    </row>
    <row r="16" spans="1:18">
      <c r="A16" s="15" t="s">
        <v>358</v>
      </c>
      <c r="B16" s="17" t="n">
        <v>3111</v>
      </c>
      <c r="C16" s="18">
        <f>(2747.0/B16*100)</f>
        <v/>
      </c>
      <c r="D16" s="19" t="n">
        <v>364</v>
      </c>
      <c r="E16" s="18" t="n">
        <v>38.5701085</v>
      </c>
      <c r="F16" s="20" t="n">
        <v>2.49865685</v>
      </c>
      <c r="G16" s="18" t="n">
        <v>49.09244655</v>
      </c>
      <c r="H16" s="20" t="n">
        <v>2.42532403</v>
      </c>
      <c r="I16" s="18" t="s">
        <v>349</v>
      </c>
      <c r="J16" s="20" t="s">
        <v>349</v>
      </c>
      <c r="K16" s="18" t="n">
        <v>6.05716883</v>
      </c>
      <c r="L16" s="20" t="n">
        <v>1.31707752</v>
      </c>
      <c r="M16" s="18" t="n">
        <v>0</v>
      </c>
      <c r="N16" s="20" t="n">
        <v>0</v>
      </c>
      <c r="O16" s="18" t="n">
        <v>0</v>
      </c>
      <c r="P16" s="20" t="n">
        <v>0</v>
      </c>
      <c r="Q16" s="18" t="n">
        <v>6.28027612</v>
      </c>
      <c r="R16" s="20" t="n">
        <v>1.36338416</v>
      </c>
    </row>
    <row r="17" spans="1:18">
      <c r="A17" s="15" t="s">
        <v>359</v>
      </c>
      <c r="B17" s="17" t="n">
        <v>3197</v>
      </c>
      <c r="C17" s="18">
        <f>(2800.0/B17*100)</f>
        <v/>
      </c>
      <c r="D17" s="19" t="n">
        <v>397</v>
      </c>
      <c r="E17" s="18" t="n">
        <v>37.92674036</v>
      </c>
      <c r="F17" s="20" t="n">
        <v>2.29351516</v>
      </c>
      <c r="G17" s="18" t="n">
        <v>48.38734377</v>
      </c>
      <c r="H17" s="20" t="n">
        <v>2.11151488</v>
      </c>
      <c r="I17" s="18" t="s">
        <v>349</v>
      </c>
      <c r="J17" s="20" t="s">
        <v>349</v>
      </c>
      <c r="K17" s="18" t="n">
        <v>4.94221926</v>
      </c>
      <c r="L17" s="20" t="n">
        <v>1.02408272</v>
      </c>
      <c r="M17" s="18" t="n">
        <v>0</v>
      </c>
      <c r="N17" s="20" t="n">
        <v>0</v>
      </c>
      <c r="O17" s="18" t="n">
        <v>0</v>
      </c>
      <c r="P17" s="20" t="n">
        <v>0</v>
      </c>
      <c r="Q17" s="18" t="n">
        <v>8.743696610000001</v>
      </c>
      <c r="R17" s="20" t="n">
        <v>1.43012372</v>
      </c>
    </row>
    <row r="18" spans="1:18">
      <c r="A18" s="15" t="s">
        <v>360</v>
      </c>
      <c r="B18" s="17" t="n">
        <v>2706</v>
      </c>
      <c r="C18" s="18">
        <f>(2398.0/B18*100)</f>
        <v/>
      </c>
      <c r="D18" s="19" t="n">
        <v>308</v>
      </c>
      <c r="E18" s="18" t="n">
        <v>54.20447532</v>
      </c>
      <c r="F18" s="20" t="n">
        <v>2.79382495</v>
      </c>
      <c r="G18" s="18" t="n">
        <v>35.26996333</v>
      </c>
      <c r="H18" s="20" t="n">
        <v>3.13779194</v>
      </c>
      <c r="I18" s="18" t="s">
        <v>349</v>
      </c>
      <c r="J18" s="20" t="s">
        <v>349</v>
      </c>
      <c r="K18" s="18" t="n">
        <v>3.63793555</v>
      </c>
      <c r="L18" s="20" t="n">
        <v>1.28475064</v>
      </c>
      <c r="M18" s="18" t="n">
        <v>0.38376422</v>
      </c>
      <c r="N18" s="20" t="n">
        <v>0.30773769</v>
      </c>
      <c r="O18" s="18" t="n">
        <v>0</v>
      </c>
      <c r="P18" s="20" t="n">
        <v>0</v>
      </c>
      <c r="Q18" s="18" t="n">
        <v>6.50386157</v>
      </c>
      <c r="R18" s="20" t="n">
        <v>1.61955275</v>
      </c>
    </row>
    <row r="19" spans="1:18">
      <c r="A19" s="15" t="s">
        <v>361</v>
      </c>
      <c r="B19" s="17" t="n">
        <v>2850</v>
      </c>
      <c r="C19" s="18">
        <f>(2517.0/B19*100)</f>
        <v/>
      </c>
      <c r="D19" s="19" t="n">
        <v>333</v>
      </c>
      <c r="E19" s="18" t="n">
        <v>51.12346067</v>
      </c>
      <c r="F19" s="20" t="n">
        <v>3.35617351</v>
      </c>
      <c r="G19" s="18" t="n">
        <v>41.43507051</v>
      </c>
      <c r="H19" s="20" t="n">
        <v>3.40772561</v>
      </c>
      <c r="I19" s="18" t="s">
        <v>349</v>
      </c>
      <c r="J19" s="20" t="s">
        <v>349</v>
      </c>
      <c r="K19" s="18" t="n">
        <v>2.59629377</v>
      </c>
      <c r="L19" s="20" t="n">
        <v>1.0673306</v>
      </c>
      <c r="M19" s="18" t="n">
        <v>0</v>
      </c>
      <c r="N19" s="20" t="n">
        <v>0</v>
      </c>
      <c r="O19" s="18" t="n">
        <v>0</v>
      </c>
      <c r="P19" s="20" t="n">
        <v>0</v>
      </c>
      <c r="Q19" s="18" t="n">
        <v>4.84517505</v>
      </c>
      <c r="R19" s="20" t="n">
        <v>1.25570661</v>
      </c>
    </row>
    <row r="20" spans="1:18">
      <c r="A20" s="15" t="s">
        <v>362</v>
      </c>
      <c r="B20" s="17" t="n">
        <v>1741</v>
      </c>
      <c r="C20" s="18">
        <f>(1531.0/B20*100)</f>
        <v/>
      </c>
      <c r="D20" s="19" t="n">
        <v>210</v>
      </c>
      <c r="E20" s="18" t="n">
        <v>60.8342915</v>
      </c>
      <c r="F20" s="20" t="n">
        <v>3.26295773</v>
      </c>
      <c r="G20" s="18" t="n">
        <v>28.57246136</v>
      </c>
      <c r="H20" s="20" t="n">
        <v>3.04120647</v>
      </c>
      <c r="I20" s="18" t="s">
        <v>349</v>
      </c>
      <c r="J20" s="20" t="s">
        <v>349</v>
      </c>
      <c r="K20" s="18" t="n">
        <v>3.8539213</v>
      </c>
      <c r="L20" s="20" t="n">
        <v>1.34265365</v>
      </c>
      <c r="M20" s="18" t="n">
        <v>0</v>
      </c>
      <c r="N20" s="20" t="n">
        <v>0</v>
      </c>
      <c r="O20" s="18" t="n">
        <v>0</v>
      </c>
      <c r="P20" s="20" t="n">
        <v>0</v>
      </c>
      <c r="Q20" s="18" t="n">
        <v>6.73932584</v>
      </c>
      <c r="R20" s="20" t="n">
        <v>1.60210425</v>
      </c>
    </row>
    <row r="21" spans="1:18">
      <c r="A21" s="15" t="s">
        <v>363</v>
      </c>
      <c r="B21" s="17" t="n">
        <v>2833</v>
      </c>
      <c r="C21" s="18">
        <f>(2380.0/B21*100)</f>
        <v/>
      </c>
      <c r="D21" s="19" t="n">
        <v>453</v>
      </c>
      <c r="E21" s="18" t="n">
        <v>44.95182561</v>
      </c>
      <c r="F21" s="20" t="n">
        <v>2.791557</v>
      </c>
      <c r="G21" s="18" t="n">
        <v>51.60101099</v>
      </c>
      <c r="H21" s="20" t="n">
        <v>2.91348333</v>
      </c>
      <c r="I21" s="18" t="s">
        <v>349</v>
      </c>
      <c r="J21" s="20" t="s">
        <v>349</v>
      </c>
      <c r="K21" s="18" t="n">
        <v>0.79088246</v>
      </c>
      <c r="L21" s="20" t="n">
        <v>0.24748619</v>
      </c>
      <c r="M21" s="18" t="n">
        <v>0</v>
      </c>
      <c r="N21" s="20" t="n">
        <v>0</v>
      </c>
      <c r="O21" s="18" t="n">
        <v>0</v>
      </c>
      <c r="P21" s="20" t="n">
        <v>0</v>
      </c>
      <c r="Q21" s="18" t="n">
        <v>2.65628094</v>
      </c>
      <c r="R21" s="20" t="n">
        <v>0.83938447</v>
      </c>
    </row>
    <row r="22" spans="1:18">
      <c r="A22" s="15" t="s">
        <v>364</v>
      </c>
      <c r="B22" s="17" t="n">
        <v>3667</v>
      </c>
      <c r="C22" s="18">
        <f>(3206.0/B22*100)</f>
        <v/>
      </c>
      <c r="D22" s="19" t="n">
        <v>461</v>
      </c>
      <c r="E22" s="18" t="n">
        <v>49.68212433</v>
      </c>
      <c r="F22" s="20" t="n">
        <v>2.55226573</v>
      </c>
      <c r="G22" s="18" t="n">
        <v>37.75304494</v>
      </c>
      <c r="H22" s="20" t="n">
        <v>2.47221323</v>
      </c>
      <c r="I22" s="18" t="s">
        <v>349</v>
      </c>
      <c r="J22" s="20" t="s">
        <v>349</v>
      </c>
      <c r="K22" s="18" t="n">
        <v>7.77320333</v>
      </c>
      <c r="L22" s="20" t="n">
        <v>1.50450663</v>
      </c>
      <c r="M22" s="18" t="n">
        <v>0</v>
      </c>
      <c r="N22" s="20" t="n">
        <v>0</v>
      </c>
      <c r="O22" s="18" t="n">
        <v>0</v>
      </c>
      <c r="P22" s="20" t="n">
        <v>0</v>
      </c>
      <c r="Q22" s="18" t="n">
        <v>4.79162741</v>
      </c>
      <c r="R22" s="20" t="n">
        <v>1.18993334</v>
      </c>
    </row>
    <row r="23" spans="1:18">
      <c r="A23" s="15" t="s">
        <v>365</v>
      </c>
      <c r="B23" s="17" t="n">
        <v>5792</v>
      </c>
      <c r="C23" s="18">
        <f>(5094.0/B23*100)</f>
        <v/>
      </c>
      <c r="D23" s="19" t="n">
        <v>698</v>
      </c>
      <c r="E23" s="18" t="n">
        <v>38.47019781</v>
      </c>
      <c r="F23" s="20" t="n">
        <v>2.49418935</v>
      </c>
      <c r="G23" s="18" t="n">
        <v>41.97918317</v>
      </c>
      <c r="H23" s="20" t="n">
        <v>2.71581869</v>
      </c>
      <c r="I23" s="18" t="s">
        <v>349</v>
      </c>
      <c r="J23" s="20" t="s">
        <v>349</v>
      </c>
      <c r="K23" s="18" t="n">
        <v>8.919453969999999</v>
      </c>
      <c r="L23" s="20" t="n">
        <v>1.49562416</v>
      </c>
      <c r="M23" s="18" t="n">
        <v>0.26779244</v>
      </c>
      <c r="N23" s="20" t="n">
        <v>0.24494214</v>
      </c>
      <c r="O23" s="18" t="n">
        <v>0</v>
      </c>
      <c r="P23" s="20" t="n">
        <v>0</v>
      </c>
      <c r="Q23" s="18" t="n">
        <v>10.3633726</v>
      </c>
      <c r="R23" s="20" t="n">
        <v>1.64816151</v>
      </c>
    </row>
    <row r="24" spans="1:18">
      <c r="A24" s="15" t="s">
        <v>366</v>
      </c>
      <c r="B24" s="17" t="n">
        <v>3309</v>
      </c>
      <c r="C24" s="18">
        <f>(2942.0/B24*100)</f>
        <v/>
      </c>
      <c r="D24" s="19" t="n">
        <v>367</v>
      </c>
      <c r="E24" s="18" t="n">
        <v>38.59762907</v>
      </c>
      <c r="F24" s="20" t="n">
        <v>2.45609714</v>
      </c>
      <c r="G24" s="18" t="n">
        <v>48.15375603</v>
      </c>
      <c r="H24" s="20" t="n">
        <v>2.38439019</v>
      </c>
      <c r="I24" s="18" t="s">
        <v>349</v>
      </c>
      <c r="J24" s="20" t="s">
        <v>349</v>
      </c>
      <c r="K24" s="18" t="n">
        <v>2.57745371</v>
      </c>
      <c r="L24" s="20" t="n">
        <v>1.04910468</v>
      </c>
      <c r="M24" s="18" t="n">
        <v>0</v>
      </c>
      <c r="N24" s="20" t="n">
        <v>0</v>
      </c>
      <c r="O24" s="18" t="n">
        <v>0</v>
      </c>
      <c r="P24" s="20" t="n">
        <v>0</v>
      </c>
      <c r="Q24" s="18" t="n">
        <v>10.67116119</v>
      </c>
      <c r="R24" s="20" t="n">
        <v>1.67865129</v>
      </c>
    </row>
    <row r="25" spans="1:18">
      <c r="A25" s="15" t="s">
        <v>367</v>
      </c>
      <c r="B25" s="17" t="n">
        <v>2669</v>
      </c>
      <c r="C25" s="18">
        <f>(2361.0/B25*100)</f>
        <v/>
      </c>
      <c r="D25" s="19" t="n">
        <v>308</v>
      </c>
      <c r="E25" s="18" t="n">
        <v>37.30218007</v>
      </c>
      <c r="F25" s="20" t="n">
        <v>2.60443347</v>
      </c>
      <c r="G25" s="18" t="n">
        <v>55.61749075</v>
      </c>
      <c r="H25" s="20" t="n">
        <v>2.89756854</v>
      </c>
      <c r="I25" s="18" t="s">
        <v>349</v>
      </c>
      <c r="J25" s="20" t="s">
        <v>349</v>
      </c>
      <c r="K25" s="18" t="n">
        <v>1.6180972</v>
      </c>
      <c r="L25" s="20" t="n">
        <v>0.70918841</v>
      </c>
      <c r="M25" s="18" t="n">
        <v>0</v>
      </c>
      <c r="N25" s="20" t="n">
        <v>0</v>
      </c>
      <c r="O25" s="18" t="n">
        <v>0</v>
      </c>
      <c r="P25" s="20" t="n">
        <v>0</v>
      </c>
      <c r="Q25" s="18" t="n">
        <v>5.46223198</v>
      </c>
      <c r="R25" s="20" t="n">
        <v>1.19311201</v>
      </c>
    </row>
    <row r="26" spans="1:18">
      <c r="A26" s="15" t="s">
        <v>368</v>
      </c>
      <c r="B26" s="17" t="n">
        <v>2419</v>
      </c>
      <c r="C26" s="18">
        <f>(2109.0/B26*100)</f>
        <v/>
      </c>
      <c r="D26" s="19" t="n">
        <v>310</v>
      </c>
      <c r="E26" s="18" t="n">
        <v>55.29696022</v>
      </c>
      <c r="F26" s="20" t="n">
        <v>2.98228544</v>
      </c>
      <c r="G26" s="18" t="n">
        <v>40.74218867</v>
      </c>
      <c r="H26" s="20" t="n">
        <v>2.99267629</v>
      </c>
      <c r="I26" s="18" t="s">
        <v>349</v>
      </c>
      <c r="J26" s="20" t="s">
        <v>349</v>
      </c>
      <c r="K26" s="18" t="n">
        <v>0.81734364</v>
      </c>
      <c r="L26" s="20" t="n">
        <v>0.43718048</v>
      </c>
      <c r="M26" s="18" t="n">
        <v>0.56285542</v>
      </c>
      <c r="N26" s="20" t="n">
        <v>0.39318886</v>
      </c>
      <c r="O26" s="18" t="n">
        <v>0</v>
      </c>
      <c r="P26" s="20" t="n">
        <v>0</v>
      </c>
      <c r="Q26" s="18" t="n">
        <v>2.58065205</v>
      </c>
      <c r="R26" s="20" t="n">
        <v>0.96379647</v>
      </c>
    </row>
    <row r="27" spans="1:18">
      <c r="A27" s="15" t="s">
        <v>369</v>
      </c>
      <c r="B27" s="17" t="n">
        <v>2683</v>
      </c>
      <c r="C27" s="18">
        <f>(2367.0/B27*100)</f>
        <v/>
      </c>
      <c r="D27" s="19" t="n">
        <v>316</v>
      </c>
      <c r="E27" s="18" t="n">
        <v>44.51254104</v>
      </c>
      <c r="F27" s="20" t="n">
        <v>2.7394206</v>
      </c>
      <c r="G27" s="18" t="n">
        <v>39.59778775</v>
      </c>
      <c r="H27" s="20" t="n">
        <v>2.62372918</v>
      </c>
      <c r="I27" s="18" t="s">
        <v>349</v>
      </c>
      <c r="J27" s="20" t="s">
        <v>349</v>
      </c>
      <c r="K27" s="18" t="n">
        <v>7.39215467</v>
      </c>
      <c r="L27" s="20" t="n">
        <v>1.46776072</v>
      </c>
      <c r="M27" s="18" t="n">
        <v>0</v>
      </c>
      <c r="N27" s="20" t="n">
        <v>0</v>
      </c>
      <c r="O27" s="18" t="n">
        <v>0</v>
      </c>
      <c r="P27" s="20" t="n">
        <v>0</v>
      </c>
      <c r="Q27" s="18" t="n">
        <v>8.49751653</v>
      </c>
      <c r="R27" s="20" t="n">
        <v>1.4806364</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(2375.0/B29*100)</f>
        <v/>
      </c>
      <c r="D29" s="19" t="n">
        <v>325</v>
      </c>
      <c r="E29" s="18" t="n">
        <v>46.87030018</v>
      </c>
      <c r="F29" s="20" t="n">
        <v>2.58363285</v>
      </c>
      <c r="G29" s="18" t="n">
        <v>48.67534434</v>
      </c>
      <c r="H29" s="20" t="n">
        <v>2.93955491</v>
      </c>
      <c r="I29" s="18" t="s">
        <v>349</v>
      </c>
      <c r="J29" s="20" t="s">
        <v>349</v>
      </c>
      <c r="K29" s="18" t="n">
        <v>2.57340489</v>
      </c>
      <c r="L29" s="20" t="n">
        <v>0.8624267</v>
      </c>
      <c r="M29" s="18" t="n">
        <v>0</v>
      </c>
      <c r="N29" s="20" t="n">
        <v>0</v>
      </c>
      <c r="O29" s="18" t="n">
        <v>0</v>
      </c>
      <c r="P29" s="20" t="n">
        <v>0</v>
      </c>
      <c r="Q29" s="18" t="n">
        <v>1.88095059</v>
      </c>
      <c r="R29" s="20" t="n">
        <v>0.86958144</v>
      </c>
    </row>
    <row r="30" spans="1:18">
      <c r="A30" s="15" t="s">
        <v>372</v>
      </c>
      <c r="B30" s="17" t="n">
        <v>2257</v>
      </c>
      <c r="C30" s="18">
        <f>(1985.0/B30*100)</f>
        <v/>
      </c>
      <c r="D30" s="19" t="n">
        <v>272</v>
      </c>
      <c r="E30" s="18" t="n">
        <v>38.99709194</v>
      </c>
      <c r="F30" s="20" t="n">
        <v>3.69421694</v>
      </c>
      <c r="G30" s="18" t="n">
        <v>50.00386129</v>
      </c>
      <c r="H30" s="20" t="n">
        <v>3.85118298</v>
      </c>
      <c r="I30" s="18" t="s">
        <v>349</v>
      </c>
      <c r="J30" s="20" t="s">
        <v>349</v>
      </c>
      <c r="K30" s="18" t="n">
        <v>6.28805623</v>
      </c>
      <c r="L30" s="20" t="n">
        <v>1.55849008</v>
      </c>
      <c r="M30" s="18" t="n">
        <v>0</v>
      </c>
      <c r="N30" s="20" t="n">
        <v>0</v>
      </c>
      <c r="O30" s="18" t="n">
        <v>0</v>
      </c>
      <c r="P30" s="20" t="n">
        <v>0</v>
      </c>
      <c r="Q30" s="18" t="n">
        <v>4.71099055</v>
      </c>
      <c r="R30" s="20" t="n">
        <v>1.2532296</v>
      </c>
    </row>
    <row r="31" spans="1:18">
      <c r="A31" s="15" t="s">
        <v>373</v>
      </c>
      <c r="B31" s="17" t="n">
        <v>2706</v>
      </c>
      <c r="C31" s="18">
        <f>(2371.0/B31*100)</f>
        <v/>
      </c>
      <c r="D31" s="19" t="n">
        <v>335</v>
      </c>
      <c r="E31" s="18" t="n">
        <v>46.81108817</v>
      </c>
      <c r="F31" s="20" t="n">
        <v>2.73028468</v>
      </c>
      <c r="G31" s="18" t="n">
        <v>40.65499338</v>
      </c>
      <c r="H31" s="20" t="n">
        <v>2.76108994</v>
      </c>
      <c r="I31" s="18" t="s">
        <v>349</v>
      </c>
      <c r="J31" s="20" t="s">
        <v>349</v>
      </c>
      <c r="K31" s="18" t="n">
        <v>6.91545347</v>
      </c>
      <c r="L31" s="20" t="n">
        <v>1.27273676</v>
      </c>
      <c r="M31" s="18" t="n">
        <v>0</v>
      </c>
      <c r="N31" s="20" t="n">
        <v>0</v>
      </c>
      <c r="O31" s="18" t="n">
        <v>0</v>
      </c>
      <c r="P31" s="20" t="n">
        <v>0</v>
      </c>
      <c r="Q31" s="18" t="n">
        <v>5.61846498</v>
      </c>
      <c r="R31" s="20" t="n">
        <v>1.35843836</v>
      </c>
    </row>
    <row r="32" spans="1:18">
      <c r="A32" s="15" t="s">
        <v>374</v>
      </c>
      <c r="B32" s="17" t="n">
        <v>2209</v>
      </c>
      <c r="C32" s="18">
        <f>(1837.0/B32*100)</f>
        <v/>
      </c>
      <c r="D32" s="19" t="n">
        <v>372</v>
      </c>
      <c r="E32" s="18" t="n">
        <v>47.92684657</v>
      </c>
      <c r="F32" s="20" t="n">
        <v>2.4747903</v>
      </c>
      <c r="G32" s="18" t="n">
        <v>39.53708355</v>
      </c>
      <c r="H32" s="20" t="n">
        <v>2.43144603</v>
      </c>
      <c r="I32" s="18" t="s">
        <v>349</v>
      </c>
      <c r="J32" s="20" t="s">
        <v>349</v>
      </c>
      <c r="K32" s="18" t="n">
        <v>3.53892857</v>
      </c>
      <c r="L32" s="20" t="n">
        <v>0.93618675</v>
      </c>
      <c r="M32" s="18" t="n">
        <v>0</v>
      </c>
      <c r="N32" s="20" t="n">
        <v>0</v>
      </c>
      <c r="O32" s="18" t="n">
        <v>0</v>
      </c>
      <c r="P32" s="20" t="n">
        <v>0</v>
      </c>
      <c r="Q32" s="18" t="n">
        <v>8.997141320000001</v>
      </c>
      <c r="R32" s="20" t="n">
        <v>1.62682745</v>
      </c>
    </row>
    <row r="33" spans="1:18">
      <c r="A33" s="15" t="s">
        <v>375</v>
      </c>
      <c r="B33" s="17" t="n">
        <v>3651</v>
      </c>
      <c r="C33" s="18">
        <f>(3234.0/B33*100)</f>
        <v/>
      </c>
      <c r="D33" s="19" t="n">
        <v>417</v>
      </c>
      <c r="E33" s="18" t="n">
        <v>42.27767714</v>
      </c>
      <c r="F33" s="20" t="n">
        <v>3.07664401</v>
      </c>
      <c r="G33" s="18" t="n">
        <v>47.0845507</v>
      </c>
      <c r="H33" s="20" t="n">
        <v>3.11769062</v>
      </c>
      <c r="I33" s="18" t="s">
        <v>349</v>
      </c>
      <c r="J33" s="20" t="s">
        <v>349</v>
      </c>
      <c r="K33" s="18" t="n">
        <v>5.61972813</v>
      </c>
      <c r="L33" s="20" t="n">
        <v>1.14979915</v>
      </c>
      <c r="M33" s="18" t="n">
        <v>0.35439851</v>
      </c>
      <c r="N33" s="20" t="n">
        <v>0.37107654</v>
      </c>
      <c r="O33" s="18" t="n">
        <v>0</v>
      </c>
      <c r="P33" s="20" t="n">
        <v>0</v>
      </c>
      <c r="Q33" s="18" t="n">
        <v>4.66364551</v>
      </c>
      <c r="R33" s="20" t="n">
        <v>1.12246545</v>
      </c>
    </row>
    <row r="34" spans="1:18">
      <c r="A34" s="15" t="s">
        <v>376</v>
      </c>
      <c r="B34" s="17" t="n">
        <v>3035</v>
      </c>
      <c r="C34" s="18">
        <f>(2655.0/B34*100)</f>
        <v/>
      </c>
      <c r="D34" s="19" t="n">
        <v>380</v>
      </c>
      <c r="E34" s="18" t="n">
        <v>49.1498452</v>
      </c>
      <c r="F34" s="20" t="n">
        <v>2.57351911</v>
      </c>
      <c r="G34" s="18" t="n">
        <v>37.23332235</v>
      </c>
      <c r="H34" s="20" t="n">
        <v>2.76547089</v>
      </c>
      <c r="I34" s="18" t="s">
        <v>349</v>
      </c>
      <c r="J34" s="20" t="s">
        <v>349</v>
      </c>
      <c r="K34" s="18" t="n">
        <v>4.40655201</v>
      </c>
      <c r="L34" s="20" t="n">
        <v>1.07618705</v>
      </c>
      <c r="M34" s="18" t="n">
        <v>0</v>
      </c>
      <c r="N34" s="20" t="n">
        <v>0</v>
      </c>
      <c r="O34" s="18" t="n">
        <v>0</v>
      </c>
      <c r="P34" s="20" t="n">
        <v>0</v>
      </c>
      <c r="Q34" s="18" t="n">
        <v>9.210280429999999</v>
      </c>
      <c r="R34" s="20" t="n">
        <v>1.58142739</v>
      </c>
    </row>
    <row r="35" spans="1:18">
      <c r="A35" s="15" t="s">
        <v>377</v>
      </c>
      <c r="B35" s="17" t="n">
        <v>2901</v>
      </c>
      <c r="C35" s="18">
        <f>(2536.0/B35*100)</f>
        <v/>
      </c>
      <c r="D35" s="19" t="n">
        <v>365</v>
      </c>
      <c r="E35" s="18" t="n">
        <v>45.70182605</v>
      </c>
      <c r="F35" s="20" t="n">
        <v>3.22148365</v>
      </c>
      <c r="G35" s="18" t="n">
        <v>49.22139351</v>
      </c>
      <c r="H35" s="20" t="n">
        <v>3.34993548</v>
      </c>
      <c r="I35" s="18" t="s">
        <v>349</v>
      </c>
      <c r="J35" s="20" t="s">
        <v>349</v>
      </c>
      <c r="K35" s="18" t="n">
        <v>2.08224121</v>
      </c>
      <c r="L35" s="20" t="n">
        <v>0.8680168700000001</v>
      </c>
      <c r="M35" s="18" t="n">
        <v>0</v>
      </c>
      <c r="N35" s="20" t="n">
        <v>0</v>
      </c>
      <c r="O35" s="18" t="n">
        <v>0</v>
      </c>
      <c r="P35" s="20" t="n">
        <v>0</v>
      </c>
      <c r="Q35" s="18" t="n">
        <v>2.99453923</v>
      </c>
      <c r="R35" s="20" t="n">
        <v>0.95962026</v>
      </c>
    </row>
    <row r="36" spans="1:18">
      <c r="A36" s="15" t="s">
        <v>378</v>
      </c>
      <c r="B36" s="17" t="n">
        <v>3404</v>
      </c>
      <c r="C36" s="18">
        <f>(3010.0/B36*100)</f>
        <v/>
      </c>
      <c r="D36" s="19" t="n">
        <v>394</v>
      </c>
      <c r="E36" s="18" t="n">
        <v>48.31408574</v>
      </c>
      <c r="F36" s="20" t="n">
        <v>2.63538399</v>
      </c>
      <c r="G36" s="18" t="n">
        <v>45.42384307</v>
      </c>
      <c r="H36" s="20" t="n">
        <v>2.60061629</v>
      </c>
      <c r="I36" s="18" t="s">
        <v>349</v>
      </c>
      <c r="J36" s="20" t="s">
        <v>349</v>
      </c>
      <c r="K36" s="18" t="n">
        <v>2.53228588</v>
      </c>
      <c r="L36" s="20" t="n">
        <v>0.89437218</v>
      </c>
      <c r="M36" s="18" t="n">
        <v>0</v>
      </c>
      <c r="N36" s="20" t="n">
        <v>0</v>
      </c>
      <c r="O36" s="18" t="n">
        <v>0</v>
      </c>
      <c r="P36" s="20" t="n">
        <v>0</v>
      </c>
      <c r="Q36" s="18" t="n">
        <v>3.72978532</v>
      </c>
      <c r="R36" s="20" t="n">
        <v>1.16223169</v>
      </c>
    </row>
    <row r="37" spans="1:18">
      <c r="A37" s="15" t="s">
        <v>379</v>
      </c>
      <c r="B37" s="17" t="n">
        <v>2731</v>
      </c>
      <c r="C37" s="18">
        <f>(2420.0/B37*100)</f>
        <v/>
      </c>
      <c r="D37" s="19" t="n">
        <v>311</v>
      </c>
      <c r="E37" s="18" t="n">
        <v>39.77789271</v>
      </c>
      <c r="F37" s="20" t="n">
        <v>2.82292108</v>
      </c>
      <c r="G37" s="18" t="n">
        <v>38.11686648</v>
      </c>
      <c r="H37" s="20" t="n">
        <v>2.99748227</v>
      </c>
      <c r="I37" s="18" t="s">
        <v>349</v>
      </c>
      <c r="J37" s="20" t="s">
        <v>349</v>
      </c>
      <c r="K37" s="18" t="n">
        <v>14.95557229</v>
      </c>
      <c r="L37" s="20" t="n">
        <v>2.44827423</v>
      </c>
      <c r="M37" s="18" t="n">
        <v>0</v>
      </c>
      <c r="N37" s="20" t="n">
        <v>0</v>
      </c>
      <c r="O37" s="18" t="n">
        <v>0</v>
      </c>
      <c r="P37" s="20" t="n">
        <v>0</v>
      </c>
      <c r="Q37" s="18" t="n">
        <v>7.14966852</v>
      </c>
      <c r="R37" s="20" t="n">
        <v>1.4898078</v>
      </c>
    </row>
    <row r="38" spans="1:18">
      <c r="A38" s="15" t="s">
        <v>380</v>
      </c>
      <c r="B38" s="17" t="n">
        <v>2807</v>
      </c>
      <c r="C38" s="18">
        <f>(2367.0/B38*100)</f>
        <v/>
      </c>
      <c r="D38" s="19" t="n">
        <v>440</v>
      </c>
      <c r="E38" s="18" t="n">
        <v>40.92895957</v>
      </c>
      <c r="F38" s="20" t="n">
        <v>2.41476725</v>
      </c>
      <c r="G38" s="18" t="n">
        <v>46.57292055</v>
      </c>
      <c r="H38" s="20" t="n">
        <v>2.46263041</v>
      </c>
      <c r="I38" s="18" t="s">
        <v>349</v>
      </c>
      <c r="J38" s="20" t="s">
        <v>349</v>
      </c>
      <c r="K38" s="18" t="n">
        <v>4.3538541</v>
      </c>
      <c r="L38" s="20" t="n">
        <v>1.05568613</v>
      </c>
      <c r="M38" s="18" t="n">
        <v>0</v>
      </c>
      <c r="N38" s="20" t="n">
        <v>0</v>
      </c>
      <c r="O38" s="18" t="n">
        <v>0</v>
      </c>
      <c r="P38" s="20" t="n">
        <v>0</v>
      </c>
      <c r="Q38" s="18" t="n">
        <v>8.14426578</v>
      </c>
      <c r="R38" s="20" t="n">
        <v>1.50555151</v>
      </c>
    </row>
    <row r="39" spans="1:18">
      <c r="A39" s="15" t="s">
        <v>381</v>
      </c>
      <c r="B39" s="17" t="n">
        <v>2938</v>
      </c>
      <c r="C39" s="18">
        <f>(2567.0/B39*100)</f>
        <v/>
      </c>
      <c r="D39" s="19" t="n">
        <v>371</v>
      </c>
      <c r="E39" s="18" t="n">
        <v>72.96003483</v>
      </c>
      <c r="F39" s="20" t="n">
        <v>2.58334074</v>
      </c>
      <c r="G39" s="18" t="n">
        <v>17.86129429</v>
      </c>
      <c r="H39" s="20" t="n">
        <v>2.33934863</v>
      </c>
      <c r="I39" s="18" t="s">
        <v>349</v>
      </c>
      <c r="J39" s="20" t="s">
        <v>349</v>
      </c>
      <c r="K39" s="18" t="n">
        <v>2.19950682</v>
      </c>
      <c r="L39" s="20" t="n">
        <v>0.84915495</v>
      </c>
      <c r="M39" s="18" t="n">
        <v>0</v>
      </c>
      <c r="N39" s="20" t="n">
        <v>0</v>
      </c>
      <c r="O39" s="18" t="n">
        <v>0</v>
      </c>
      <c r="P39" s="20" t="n">
        <v>0</v>
      </c>
      <c r="Q39" s="18" t="n">
        <v>6.97916406</v>
      </c>
      <c r="R39" s="20" t="n">
        <v>1.35669919</v>
      </c>
    </row>
    <row r="40" spans="1:18">
      <c r="A40" s="15" t="s">
        <v>382</v>
      </c>
      <c r="B40" s="17" t="n">
        <v>6922</v>
      </c>
      <c r="C40" s="18">
        <f>(6018.0/B40*100)</f>
        <v/>
      </c>
      <c r="D40" s="19" t="n">
        <v>904</v>
      </c>
      <c r="E40" s="18" t="n">
        <v>44.61874188</v>
      </c>
      <c r="F40" s="20" t="n">
        <v>2.51613457</v>
      </c>
      <c r="G40" s="18" t="n">
        <v>42.84159708</v>
      </c>
      <c r="H40" s="20" t="n">
        <v>2.36886627</v>
      </c>
      <c r="I40" s="18" t="s">
        <v>349</v>
      </c>
      <c r="J40" s="20" t="s">
        <v>349</v>
      </c>
      <c r="K40" s="18" t="n">
        <v>5.73724532</v>
      </c>
      <c r="L40" s="20" t="n">
        <v>1.16298139</v>
      </c>
      <c r="M40" s="18" t="n">
        <v>0</v>
      </c>
      <c r="N40" s="20" t="n">
        <v>0</v>
      </c>
      <c r="O40" s="18" t="n">
        <v>0</v>
      </c>
      <c r="P40" s="20" t="n">
        <v>0</v>
      </c>
      <c r="Q40" s="18" t="n">
        <v>6.80241572</v>
      </c>
      <c r="R40" s="20" t="n">
        <v>1.37056445</v>
      </c>
    </row>
    <row r="41" spans="1:18">
      <c r="A41" s="15" t="s">
        <v>383</v>
      </c>
      <c r="B41" s="17" t="n">
        <v>2854</v>
      </c>
      <c r="C41" s="18">
        <f>(2506.0/B41*100)</f>
        <v/>
      </c>
      <c r="D41" s="19" t="n">
        <v>348</v>
      </c>
      <c r="E41" s="18" t="n">
        <v>52.11176351</v>
      </c>
      <c r="F41" s="20" t="n">
        <v>2.84653012</v>
      </c>
      <c r="G41" s="18" t="n">
        <v>44.58863298</v>
      </c>
      <c r="H41" s="20" t="n">
        <v>2.79445421</v>
      </c>
      <c r="I41" s="18" t="s">
        <v>349</v>
      </c>
      <c r="J41" s="20" t="s">
        <v>349</v>
      </c>
      <c r="K41" s="18" t="n">
        <v>1.59867753</v>
      </c>
      <c r="L41" s="20" t="n">
        <v>0.67242877</v>
      </c>
      <c r="M41" s="18" t="n">
        <v>0</v>
      </c>
      <c r="N41" s="20" t="n">
        <v>0</v>
      </c>
      <c r="O41" s="18" t="n">
        <v>0</v>
      </c>
      <c r="P41" s="20" t="n">
        <v>0</v>
      </c>
      <c r="Q41" s="18" t="n">
        <v>1.70092597</v>
      </c>
      <c r="R41" s="20" t="n">
        <v>0.7270495300000001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(4116.0/B48*100)</f>
        <v/>
      </c>
      <c r="D48" s="19" t="n">
        <v>566</v>
      </c>
      <c r="E48" s="18" t="n">
        <v>36.11832671</v>
      </c>
      <c r="F48" s="20" t="n">
        <v>2.73116954</v>
      </c>
      <c r="G48" s="18" t="n">
        <v>56.97765686</v>
      </c>
      <c r="H48" s="20" t="n">
        <v>2.77244012</v>
      </c>
      <c r="I48" s="18" t="s">
        <v>349</v>
      </c>
      <c r="J48" s="20" t="s">
        <v>349</v>
      </c>
      <c r="K48" s="18" t="n">
        <v>1.87074178</v>
      </c>
      <c r="L48" s="20" t="n">
        <v>1.01506497</v>
      </c>
      <c r="M48" s="18" t="n">
        <v>0</v>
      </c>
      <c r="N48" s="20" t="n">
        <v>0</v>
      </c>
      <c r="O48" s="18" t="n">
        <v>0</v>
      </c>
      <c r="P48" s="20" t="n">
        <v>0</v>
      </c>
      <c r="Q48" s="18" t="n">
        <v>5.03327465</v>
      </c>
      <c r="R48" s="20" t="n">
        <v>1.18706353</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(2628.0/B52*100)</f>
        <v/>
      </c>
      <c r="D52" s="19" t="n">
        <v>385</v>
      </c>
      <c r="E52" s="18" t="n">
        <v>46.11536464</v>
      </c>
      <c r="F52" s="20" t="n">
        <v>2.68896856</v>
      </c>
      <c r="G52" s="18" t="n">
        <v>39.43605653</v>
      </c>
      <c r="H52" s="20" t="n">
        <v>2.65138549</v>
      </c>
      <c r="I52" s="18" t="s">
        <v>349</v>
      </c>
      <c r="J52" s="20" t="s">
        <v>349</v>
      </c>
      <c r="K52" s="18" t="n">
        <v>7.22345702</v>
      </c>
      <c r="L52" s="20" t="n">
        <v>1.12711476</v>
      </c>
      <c r="M52" s="18" t="n">
        <v>0</v>
      </c>
      <c r="N52" s="20" t="n">
        <v>0</v>
      </c>
      <c r="O52" s="18" t="n">
        <v>0</v>
      </c>
      <c r="P52" s="20" t="n">
        <v>0</v>
      </c>
      <c r="Q52" s="18" t="n">
        <v>7.22512181</v>
      </c>
      <c r="R52" s="20" t="n">
        <v>1.45310931</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(2349.0/B56*100)</f>
        <v/>
      </c>
      <c r="D56" s="19" t="n">
        <v>326</v>
      </c>
      <c r="E56" s="18" t="n">
        <v>33.68472783</v>
      </c>
      <c r="F56" s="20" t="n">
        <v>3.01842898</v>
      </c>
      <c r="G56" s="18" t="n">
        <v>61.55362587</v>
      </c>
      <c r="H56" s="20" t="n">
        <v>3.32853211</v>
      </c>
      <c r="I56" s="18" t="s">
        <v>349</v>
      </c>
      <c r="J56" s="20" t="s">
        <v>349</v>
      </c>
      <c r="K56" s="18" t="n">
        <v>1.19225866</v>
      </c>
      <c r="L56" s="20" t="n">
        <v>0.6476725800000001</v>
      </c>
      <c r="M56" s="18" t="n">
        <v>0</v>
      </c>
      <c r="N56" s="20" t="n">
        <v>0</v>
      </c>
      <c r="O56" s="18" t="n">
        <v>0</v>
      </c>
      <c r="P56" s="20" t="n">
        <v>0</v>
      </c>
      <c r="Q56" s="18" t="n">
        <v>3.56938764</v>
      </c>
      <c r="R56" s="20" t="n">
        <v>1.20437586</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(2824.0/B61*100)</f>
        <v/>
      </c>
      <c r="D61" s="19" t="n">
        <v>377</v>
      </c>
      <c r="E61" s="18" t="n">
        <v>54.94152028</v>
      </c>
      <c r="F61" s="20" t="n">
        <v>3.1361843</v>
      </c>
      <c r="G61" s="18" t="n">
        <v>31.98849829</v>
      </c>
      <c r="H61" s="20" t="n">
        <v>2.85962192</v>
      </c>
      <c r="I61" s="18" t="s">
        <v>349</v>
      </c>
      <c r="J61" s="20" t="s">
        <v>349</v>
      </c>
      <c r="K61" s="18" t="n">
        <v>5.06189137</v>
      </c>
      <c r="L61" s="20" t="n">
        <v>1.14454759</v>
      </c>
      <c r="M61" s="18" t="n">
        <v>0</v>
      </c>
      <c r="N61" s="20" t="n">
        <v>0</v>
      </c>
      <c r="O61" s="18" t="n">
        <v>0</v>
      </c>
      <c r="P61" s="20" t="n">
        <v>0</v>
      </c>
      <c r="Q61" s="18" t="n">
        <v>8.008090060000001</v>
      </c>
      <c r="R61" s="20" t="n">
        <v>1.5793307</v>
      </c>
    </row>
    <row r="62" spans="1:18">
      <c r="A62" s="15" t="s">
        <v>404</v>
      </c>
      <c r="B62" s="17" t="n">
        <v>2230</v>
      </c>
      <c r="C62" s="18">
        <f>(1967.0/B62*100)</f>
        <v/>
      </c>
      <c r="D62" s="19" t="n">
        <v>263</v>
      </c>
      <c r="E62" s="18" t="n">
        <v>34.98095146</v>
      </c>
      <c r="F62" s="20" t="n">
        <v>2.55813747</v>
      </c>
      <c r="G62" s="18" t="n">
        <v>63.86870429</v>
      </c>
      <c r="H62" s="20" t="n">
        <v>2.45190234</v>
      </c>
      <c r="I62" s="18" t="s">
        <v>349</v>
      </c>
      <c r="J62" s="20" t="s">
        <v>349</v>
      </c>
      <c r="K62" s="18" t="n">
        <v>0</v>
      </c>
      <c r="L62" s="20" t="n">
        <v>0</v>
      </c>
      <c r="M62" s="18" t="n">
        <v>0</v>
      </c>
      <c r="N62" s="20" t="n">
        <v>0</v>
      </c>
      <c r="O62" s="18" t="n">
        <v>0</v>
      </c>
      <c r="P62" s="20" t="n">
        <v>0</v>
      </c>
      <c r="Q62" s="18" t="n">
        <v>1.15034424</v>
      </c>
      <c r="R62" s="20" t="n">
        <v>0.66523675</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(2451.0/B66*100)</f>
        <v/>
      </c>
      <c r="D66" s="19" t="n">
        <v>320</v>
      </c>
      <c r="E66" s="18" t="n">
        <v>45.57419287</v>
      </c>
      <c r="F66" s="20" t="n">
        <v>3.02823147</v>
      </c>
      <c r="G66" s="18" t="n">
        <v>34.99488221</v>
      </c>
      <c r="H66" s="20" t="n">
        <v>2.73536258</v>
      </c>
      <c r="I66" s="18" t="s">
        <v>349</v>
      </c>
      <c r="J66" s="20" t="s">
        <v>349</v>
      </c>
      <c r="K66" s="18" t="n">
        <v>11.50755936</v>
      </c>
      <c r="L66" s="20" t="n">
        <v>1.86095796</v>
      </c>
      <c r="M66" s="18" t="n">
        <v>0.26637666</v>
      </c>
      <c r="N66" s="20" t="n">
        <v>0.26799991</v>
      </c>
      <c r="O66" s="18" t="n">
        <v>0</v>
      </c>
      <c r="P66" s="20" t="n">
        <v>0</v>
      </c>
      <c r="Q66" s="18" t="n">
        <v>7.6569889</v>
      </c>
      <c r="R66" s="20" t="n">
        <v>1.63062108</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(5032.0/B68*100)</f>
        <v/>
      </c>
      <c r="D68" s="19" t="n">
        <v>1002</v>
      </c>
      <c r="E68" s="18" t="n">
        <v>62.19376566</v>
      </c>
      <c r="F68" s="20" t="n">
        <v>1.52017964</v>
      </c>
      <c r="G68" s="18" t="n">
        <v>26.43064109</v>
      </c>
      <c r="H68" s="20" t="n">
        <v>1.40304361</v>
      </c>
      <c r="I68" s="18" t="s">
        <v>349</v>
      </c>
      <c r="J68" s="20" t="s">
        <v>349</v>
      </c>
      <c r="K68" s="18" t="n">
        <v>7.6776802</v>
      </c>
      <c r="L68" s="20" t="n">
        <v>0.84009871</v>
      </c>
      <c r="M68" s="18" t="n">
        <v>0.09688107</v>
      </c>
      <c r="N68" s="20" t="n">
        <v>0.09701836</v>
      </c>
      <c r="O68" s="18" t="n">
        <v>0</v>
      </c>
      <c r="P68" s="20" t="n">
        <v>0</v>
      </c>
      <c r="Q68" s="18" t="n">
        <v>3.60103199</v>
      </c>
      <c r="R68" s="20" t="n">
        <v>0.61149421</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(2730.0/B70*100)</f>
        <v/>
      </c>
      <c r="D70" s="19" t="n">
        <v>377</v>
      </c>
      <c r="E70" s="18" t="n">
        <v>54.7799071</v>
      </c>
      <c r="F70" s="20" t="n">
        <v>2.72173414</v>
      </c>
      <c r="G70" s="18" t="n">
        <v>25.96885354</v>
      </c>
      <c r="H70" s="20" t="n">
        <v>2.55331821</v>
      </c>
      <c r="I70" s="18" t="s">
        <v>349</v>
      </c>
      <c r="J70" s="20" t="s">
        <v>349</v>
      </c>
      <c r="K70" s="18" t="n">
        <v>5.41503215</v>
      </c>
      <c r="L70" s="20" t="n">
        <v>1.40677312</v>
      </c>
      <c r="M70" s="18" t="n">
        <v>2.23639197</v>
      </c>
      <c r="N70" s="20" t="n">
        <v>0.58097283</v>
      </c>
      <c r="O70" s="18" t="n">
        <v>0</v>
      </c>
      <c r="P70" s="20" t="n">
        <v>0</v>
      </c>
      <c r="Q70" s="18" t="n">
        <v>11.59981525</v>
      </c>
      <c r="R70" s="20" t="n">
        <v>2.09421419</v>
      </c>
    </row>
    <row r="71" spans="1:18">
      <c r="A71" s="15" t="s">
        <v>413</v>
      </c>
      <c r="B71" s="17" t="n">
        <v>2973</v>
      </c>
      <c r="C71" s="18">
        <f>(2602.0/B71*100)</f>
        <v/>
      </c>
      <c r="D71" s="19" t="n">
        <v>371</v>
      </c>
      <c r="E71" s="18" t="n">
        <v>30.2595963</v>
      </c>
      <c r="F71" s="20" t="n">
        <v>2.37647652</v>
      </c>
      <c r="G71" s="18" t="n">
        <v>67.85295554</v>
      </c>
      <c r="H71" s="20" t="n">
        <v>2.34907882</v>
      </c>
      <c r="I71" s="18" t="s">
        <v>349</v>
      </c>
      <c r="J71" s="20" t="s">
        <v>349</v>
      </c>
      <c r="K71" s="18" t="n">
        <v>0.9478636</v>
      </c>
      <c r="L71" s="20" t="n">
        <v>0.47171692</v>
      </c>
      <c r="M71" s="18" t="n">
        <v>0</v>
      </c>
      <c r="N71" s="20" t="n">
        <v>0</v>
      </c>
      <c r="O71" s="18" t="n">
        <v>0</v>
      </c>
      <c r="P71" s="20" t="n">
        <v>0</v>
      </c>
      <c r="Q71" s="18" t="n">
        <v>0.93958456</v>
      </c>
      <c r="R71" s="20" t="n">
        <v>0.47541007</v>
      </c>
    </row>
    <row r="72" spans="1:18">
      <c r="A72" s="15" t="s">
        <v>414</v>
      </c>
      <c r="B72" s="17" t="n">
        <v>3819</v>
      </c>
      <c r="C72" s="18">
        <f>(3344.0/B72*100)</f>
        <v/>
      </c>
      <c r="D72" s="19" t="n">
        <v>475</v>
      </c>
      <c r="E72" s="18" t="n">
        <v>43.37708102</v>
      </c>
      <c r="F72" s="20" t="n">
        <v>2.23579722</v>
      </c>
      <c r="G72" s="18" t="n">
        <v>46.69140355</v>
      </c>
      <c r="H72" s="20" t="n">
        <v>2.51688175</v>
      </c>
      <c r="I72" s="18" t="s">
        <v>349</v>
      </c>
      <c r="J72" s="20" t="s">
        <v>349</v>
      </c>
      <c r="K72" s="18" t="n">
        <v>2.56021418</v>
      </c>
      <c r="L72" s="20" t="n">
        <v>0.81207711</v>
      </c>
      <c r="M72" s="18" t="n">
        <v>0</v>
      </c>
      <c r="N72" s="20" t="n">
        <v>0</v>
      </c>
      <c r="O72" s="18" t="n">
        <v>0</v>
      </c>
      <c r="P72" s="20" t="n">
        <v>0</v>
      </c>
      <c r="Q72" s="18" t="n">
        <v>7.37130125</v>
      </c>
      <c r="R72" s="20" t="n">
        <v>1.29505665</v>
      </c>
    </row>
    <row r="73" spans="1:18">
      <c r="A73" s="15" t="s">
        <v>415</v>
      </c>
      <c r="B73" s="17" t="n">
        <v>4652</v>
      </c>
      <c r="C73" s="18">
        <f>(4134.0/B73*100)</f>
        <v/>
      </c>
      <c r="D73" s="19" t="n">
        <v>518</v>
      </c>
      <c r="E73" s="18" t="n">
        <v>63.62892705</v>
      </c>
      <c r="F73" s="20" t="n">
        <v>2.31327642</v>
      </c>
      <c r="G73" s="18" t="n">
        <v>33.99648499</v>
      </c>
      <c r="H73" s="20" t="n">
        <v>2.19805172</v>
      </c>
      <c r="I73" s="18" t="s">
        <v>349</v>
      </c>
      <c r="J73" s="20" t="s">
        <v>349</v>
      </c>
      <c r="K73" s="18" t="n">
        <v>0.7869322600000001</v>
      </c>
      <c r="L73" s="20" t="n">
        <v>0.44717527</v>
      </c>
      <c r="M73" s="18" t="n">
        <v>0.64839669</v>
      </c>
      <c r="N73" s="20" t="n">
        <v>0.47654105</v>
      </c>
      <c r="O73" s="18" t="n">
        <v>0</v>
      </c>
      <c r="P73" s="20" t="n">
        <v>0</v>
      </c>
      <c r="Q73" s="18" t="n">
        <v>0.93925901</v>
      </c>
      <c r="R73" s="20" t="n">
        <v>0.49879535</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(4113.0/B81*100)</f>
        <v/>
      </c>
      <c r="D81" s="19" t="n">
        <v>585</v>
      </c>
      <c r="E81" s="18" t="n">
        <v>61.17940826</v>
      </c>
      <c r="F81" s="20" t="n">
        <v>2.26277677</v>
      </c>
      <c r="G81" s="18" t="n">
        <v>36.31224845</v>
      </c>
      <c r="H81" s="20" t="n">
        <v>2.13763259</v>
      </c>
      <c r="I81" s="18" t="s">
        <v>349</v>
      </c>
      <c r="J81" s="20" t="s">
        <v>349</v>
      </c>
      <c r="K81" s="18" t="n">
        <v>0.0145387</v>
      </c>
      <c r="L81" s="20" t="n">
        <v>0.01448482</v>
      </c>
      <c r="M81" s="18" t="n">
        <v>0.44130296</v>
      </c>
      <c r="N81" s="20" t="n">
        <v>0.31063106</v>
      </c>
      <c r="O81" s="18" t="n">
        <v>0</v>
      </c>
      <c r="P81" s="20" t="n">
        <v>0</v>
      </c>
      <c r="Q81" s="18" t="n">
        <v>2.05250164</v>
      </c>
      <c r="R81" s="20" t="n">
        <v>0.71871579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(6314.0/B7*100)</f>
        <v/>
      </c>
      <c r="D7" s="19" t="n">
        <v>849</v>
      </c>
      <c r="E7" s="18" t="n">
        <v>48.60010763</v>
      </c>
      <c r="F7" s="20" t="n">
        <v>1.82068312</v>
      </c>
      <c r="G7" s="18" t="n">
        <v>41.85305746</v>
      </c>
      <c r="H7" s="20" t="n">
        <v>2.06372943</v>
      </c>
      <c r="I7" s="18" t="s">
        <v>349</v>
      </c>
      <c r="J7" s="20" t="s">
        <v>349</v>
      </c>
      <c r="K7" s="18" t="n">
        <v>6.44925349</v>
      </c>
      <c r="L7" s="20" t="n">
        <v>0.86639839</v>
      </c>
      <c r="M7" s="18" t="n">
        <v>0</v>
      </c>
      <c r="N7" s="20" t="n">
        <v>0</v>
      </c>
      <c r="O7" s="18" t="n">
        <v>0</v>
      </c>
      <c r="P7" s="20" t="n">
        <v>0</v>
      </c>
      <c r="Q7" s="18" t="n">
        <v>3.09758143</v>
      </c>
      <c r="R7" s="20" t="n">
        <v>0.58506873</v>
      </c>
    </row>
    <row r="8" spans="1:18">
      <c r="A8" s="15" t="s">
        <v>350</v>
      </c>
      <c r="B8" s="17" t="n">
        <v>3443</v>
      </c>
      <c r="C8" s="18">
        <f>(3014.0/B8*100)</f>
        <v/>
      </c>
      <c r="D8" s="19" t="n">
        <v>429</v>
      </c>
      <c r="E8" s="18" t="n">
        <v>32.71609184</v>
      </c>
      <c r="F8" s="20" t="n">
        <v>2.39262439</v>
      </c>
      <c r="G8" s="18" t="n">
        <v>53.37495015</v>
      </c>
      <c r="H8" s="20" t="n">
        <v>2.43265815</v>
      </c>
      <c r="I8" s="18" t="s">
        <v>349</v>
      </c>
      <c r="J8" s="20" t="s">
        <v>349</v>
      </c>
      <c r="K8" s="18" t="n">
        <v>10.47040045</v>
      </c>
      <c r="L8" s="20" t="n">
        <v>1.50245011</v>
      </c>
      <c r="M8" s="18" t="n">
        <v>0</v>
      </c>
      <c r="N8" s="20" t="n">
        <v>0</v>
      </c>
      <c r="O8" s="18" t="n">
        <v>0</v>
      </c>
      <c r="P8" s="20" t="n">
        <v>0</v>
      </c>
      <c r="Q8" s="18" t="n">
        <v>3.43855756</v>
      </c>
      <c r="R8" s="20" t="n">
        <v>0.98669935</v>
      </c>
    </row>
    <row r="9" spans="1:18">
      <c r="A9" s="15" t="s">
        <v>351</v>
      </c>
      <c r="B9" s="17" t="n">
        <v>4752</v>
      </c>
      <c r="C9" s="18">
        <f>(4182.0/B9*100)</f>
        <v/>
      </c>
      <c r="D9" s="19" t="n">
        <v>570</v>
      </c>
      <c r="E9" s="18" t="n">
        <v>33.82651764</v>
      </c>
      <c r="F9" s="20" t="n">
        <v>2.1693083</v>
      </c>
      <c r="G9" s="18" t="n">
        <v>58.26139287</v>
      </c>
      <c r="H9" s="20" t="n">
        <v>2.39962021</v>
      </c>
      <c r="I9" s="18" t="s">
        <v>349</v>
      </c>
      <c r="J9" s="20" t="s">
        <v>349</v>
      </c>
      <c r="K9" s="18" t="n">
        <v>5.84190042</v>
      </c>
      <c r="L9" s="20" t="n">
        <v>1.03067874</v>
      </c>
      <c r="M9" s="18" t="n">
        <v>0</v>
      </c>
      <c r="N9" s="20" t="n">
        <v>0</v>
      </c>
      <c r="O9" s="18" t="n">
        <v>0</v>
      </c>
      <c r="P9" s="20" t="n">
        <v>0</v>
      </c>
      <c r="Q9" s="18" t="n">
        <v>2.07018907</v>
      </c>
      <c r="R9" s="20" t="n">
        <v>0.54934644</v>
      </c>
    </row>
    <row r="10" spans="1:18">
      <c r="A10" s="15" t="s">
        <v>352</v>
      </c>
      <c r="B10" s="17" t="n">
        <v>10022</v>
      </c>
      <c r="C10" s="18">
        <f>(8803.0/B10*100)</f>
        <v/>
      </c>
      <c r="D10" s="19" t="n">
        <v>1219</v>
      </c>
      <c r="E10" s="18" t="n">
        <v>42.21473857</v>
      </c>
      <c r="F10" s="20" t="n">
        <v>1.97032975</v>
      </c>
      <c r="G10" s="18" t="n">
        <v>53.0108661</v>
      </c>
      <c r="H10" s="20" t="n">
        <v>1.96343946</v>
      </c>
      <c r="I10" s="18" t="s">
        <v>349</v>
      </c>
      <c r="J10" s="20" t="s">
        <v>349</v>
      </c>
      <c r="K10" s="18" t="n">
        <v>3.94482384</v>
      </c>
      <c r="L10" s="20" t="n">
        <v>0.96919068</v>
      </c>
      <c r="M10" s="18" t="n">
        <v>0</v>
      </c>
      <c r="N10" s="20" t="n">
        <v>0</v>
      </c>
      <c r="O10" s="18" t="n">
        <v>0</v>
      </c>
      <c r="P10" s="20" t="n">
        <v>0</v>
      </c>
      <c r="Q10" s="18" t="n">
        <v>0.82957149</v>
      </c>
      <c r="R10" s="20" t="n">
        <v>0.33547065</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(3012.0/B12*100)</f>
        <v/>
      </c>
      <c r="D12" s="19" t="n">
        <v>410</v>
      </c>
      <c r="E12" s="18" t="n">
        <v>41.59469006</v>
      </c>
      <c r="F12" s="20" t="n">
        <v>2.65120682</v>
      </c>
      <c r="G12" s="18" t="n">
        <v>45.68123652</v>
      </c>
      <c r="H12" s="20" t="n">
        <v>2.66342994</v>
      </c>
      <c r="I12" s="18" t="s">
        <v>349</v>
      </c>
      <c r="J12" s="20" t="s">
        <v>349</v>
      </c>
      <c r="K12" s="18" t="n">
        <v>10.98464491</v>
      </c>
      <c r="L12" s="20" t="n">
        <v>1.86304769</v>
      </c>
      <c r="M12" s="18" t="n">
        <v>0</v>
      </c>
      <c r="N12" s="20" t="n">
        <v>0</v>
      </c>
      <c r="O12" s="18" t="n">
        <v>0</v>
      </c>
      <c r="P12" s="20" t="n">
        <v>0</v>
      </c>
      <c r="Q12" s="18" t="n">
        <v>1.73942851</v>
      </c>
      <c r="R12" s="20" t="n">
        <v>0.72634954</v>
      </c>
    </row>
    <row r="13" spans="1:18">
      <c r="A13" s="15" t="s">
        <v>355</v>
      </c>
      <c r="B13" s="17" t="n">
        <v>3602</v>
      </c>
      <c r="C13" s="18">
        <f>(3187.0/B13*100)</f>
        <v/>
      </c>
      <c r="D13" s="19" t="n">
        <v>415</v>
      </c>
      <c r="E13" s="18" t="n">
        <v>37.27052128</v>
      </c>
      <c r="F13" s="20" t="n">
        <v>2.83667875</v>
      </c>
      <c r="G13" s="18" t="n">
        <v>56.53484179</v>
      </c>
      <c r="H13" s="20" t="n">
        <v>3.01189534</v>
      </c>
      <c r="I13" s="18" t="s">
        <v>349</v>
      </c>
      <c r="J13" s="20" t="s">
        <v>349</v>
      </c>
      <c r="K13" s="18" t="n">
        <v>4.91274446</v>
      </c>
      <c r="L13" s="20" t="n">
        <v>1.4256399</v>
      </c>
      <c r="M13" s="18" t="n">
        <v>0</v>
      </c>
      <c r="N13" s="20" t="n">
        <v>0</v>
      </c>
      <c r="O13" s="18" t="n">
        <v>0</v>
      </c>
      <c r="P13" s="20" t="n">
        <v>0</v>
      </c>
      <c r="Q13" s="18" t="n">
        <v>1.28189248</v>
      </c>
      <c r="R13" s="20" t="n">
        <v>0.70015489</v>
      </c>
    </row>
    <row r="14" spans="1:18">
      <c r="A14" s="15" t="s">
        <v>356</v>
      </c>
      <c r="B14" s="17" t="n">
        <v>2788</v>
      </c>
      <c r="C14" s="18">
        <f>(2460.0/B14*100)</f>
        <v/>
      </c>
      <c r="D14" s="19" t="n">
        <v>328</v>
      </c>
      <c r="E14" s="18" t="n">
        <v>25.5756611</v>
      </c>
      <c r="F14" s="20" t="n">
        <v>2.59974236</v>
      </c>
      <c r="G14" s="18" t="n">
        <v>68.38106214</v>
      </c>
      <c r="H14" s="20" t="n">
        <v>2.69102786</v>
      </c>
      <c r="I14" s="18" t="s">
        <v>349</v>
      </c>
      <c r="J14" s="20" t="s">
        <v>349</v>
      </c>
      <c r="K14" s="18" t="n">
        <v>4.67037062</v>
      </c>
      <c r="L14" s="20" t="n">
        <v>1.20042516</v>
      </c>
      <c r="M14" s="18" t="n">
        <v>0</v>
      </c>
      <c r="N14" s="20" t="n">
        <v>0</v>
      </c>
      <c r="O14" s="18" t="n">
        <v>0</v>
      </c>
      <c r="P14" s="20" t="n">
        <v>0</v>
      </c>
      <c r="Q14" s="18" t="n">
        <v>1.37290614</v>
      </c>
      <c r="R14" s="20" t="n">
        <v>0.58677959</v>
      </c>
    </row>
    <row r="15" spans="1:18">
      <c r="A15" s="15" t="s">
        <v>357</v>
      </c>
      <c r="B15" s="17" t="n">
        <v>2863</v>
      </c>
      <c r="C15" s="18">
        <f>(2518.0/B15*100)</f>
        <v/>
      </c>
      <c r="D15" s="19" t="n">
        <v>345</v>
      </c>
      <c r="E15" s="18" t="n">
        <v>45.93549852</v>
      </c>
      <c r="F15" s="20" t="n">
        <v>2.51908367</v>
      </c>
      <c r="G15" s="18" t="n">
        <v>44.28535822</v>
      </c>
      <c r="H15" s="20" t="n">
        <v>2.73232318</v>
      </c>
      <c r="I15" s="18" t="s">
        <v>349</v>
      </c>
      <c r="J15" s="20" t="s">
        <v>349</v>
      </c>
      <c r="K15" s="18" t="n">
        <v>8.80353566</v>
      </c>
      <c r="L15" s="20" t="n">
        <v>1.46093818</v>
      </c>
      <c r="M15" s="18" t="n">
        <v>0</v>
      </c>
      <c r="N15" s="20" t="n">
        <v>0</v>
      </c>
      <c r="O15" s="18" t="n">
        <v>0</v>
      </c>
      <c r="P15" s="20" t="n">
        <v>0</v>
      </c>
      <c r="Q15" s="18" t="n">
        <v>0.9756076</v>
      </c>
      <c r="R15" s="20" t="n">
        <v>0.50579034</v>
      </c>
    </row>
    <row r="16" spans="1:18">
      <c r="A16" s="15" t="s">
        <v>358</v>
      </c>
      <c r="B16" s="17" t="n">
        <v>3111</v>
      </c>
      <c r="C16" s="18">
        <f>(2742.0/B16*100)</f>
        <v/>
      </c>
      <c r="D16" s="19" t="n">
        <v>369</v>
      </c>
      <c r="E16" s="18" t="n">
        <v>40.78541812</v>
      </c>
      <c r="F16" s="20" t="n">
        <v>2.2887089</v>
      </c>
      <c r="G16" s="18" t="n">
        <v>40.6777639</v>
      </c>
      <c r="H16" s="20" t="n">
        <v>2.43446234</v>
      </c>
      <c r="I16" s="18" t="s">
        <v>349</v>
      </c>
      <c r="J16" s="20" t="s">
        <v>349</v>
      </c>
      <c r="K16" s="18" t="n">
        <v>15.175691</v>
      </c>
      <c r="L16" s="20" t="n">
        <v>1.76260931</v>
      </c>
      <c r="M16" s="18" t="n">
        <v>0</v>
      </c>
      <c r="N16" s="20" t="n">
        <v>0</v>
      </c>
      <c r="O16" s="18" t="n">
        <v>0</v>
      </c>
      <c r="P16" s="20" t="n">
        <v>0</v>
      </c>
      <c r="Q16" s="18" t="n">
        <v>3.36112698</v>
      </c>
      <c r="R16" s="20" t="n">
        <v>0.94714424</v>
      </c>
    </row>
    <row r="17" spans="1:18">
      <c r="A17" s="15" t="s">
        <v>359</v>
      </c>
      <c r="B17" s="17" t="n">
        <v>3197</v>
      </c>
      <c r="C17" s="18">
        <f>(2798.0/B17*100)</f>
        <v/>
      </c>
      <c r="D17" s="19" t="n">
        <v>399</v>
      </c>
      <c r="E17" s="18" t="n">
        <v>35.45221849</v>
      </c>
      <c r="F17" s="20" t="n">
        <v>2.23854515</v>
      </c>
      <c r="G17" s="18" t="n">
        <v>52.46810343</v>
      </c>
      <c r="H17" s="20" t="n">
        <v>2.56303742</v>
      </c>
      <c r="I17" s="18" t="s">
        <v>349</v>
      </c>
      <c r="J17" s="20" t="s">
        <v>349</v>
      </c>
      <c r="K17" s="18" t="n">
        <v>9.620120500000001</v>
      </c>
      <c r="L17" s="20" t="n">
        <v>1.53997685</v>
      </c>
      <c r="M17" s="18" t="n">
        <v>0</v>
      </c>
      <c r="N17" s="20" t="n">
        <v>0</v>
      </c>
      <c r="O17" s="18" t="n">
        <v>0</v>
      </c>
      <c r="P17" s="20" t="n">
        <v>0</v>
      </c>
      <c r="Q17" s="18" t="n">
        <v>2.45955758</v>
      </c>
      <c r="R17" s="20" t="n">
        <v>0.71119592</v>
      </c>
    </row>
    <row r="18" spans="1:18">
      <c r="A18" s="15" t="s">
        <v>360</v>
      </c>
      <c r="B18" s="17" t="n">
        <v>2706</v>
      </c>
      <c r="C18" s="18">
        <f>(2396.0/B18*100)</f>
        <v/>
      </c>
      <c r="D18" s="19" t="n">
        <v>310</v>
      </c>
      <c r="E18" s="18" t="n">
        <v>51.99112952</v>
      </c>
      <c r="F18" s="20" t="n">
        <v>3.20454658</v>
      </c>
      <c r="G18" s="18" t="n">
        <v>39.31084771</v>
      </c>
      <c r="H18" s="20" t="n">
        <v>3.28980056</v>
      </c>
      <c r="I18" s="18" t="s">
        <v>349</v>
      </c>
      <c r="J18" s="20" t="s">
        <v>349</v>
      </c>
      <c r="K18" s="18" t="n">
        <v>7.15610824</v>
      </c>
      <c r="L18" s="20" t="n">
        <v>1.75319677</v>
      </c>
      <c r="M18" s="18" t="n">
        <v>0</v>
      </c>
      <c r="N18" s="20" t="n">
        <v>0</v>
      </c>
      <c r="O18" s="18" t="n">
        <v>0</v>
      </c>
      <c r="P18" s="20" t="n">
        <v>0</v>
      </c>
      <c r="Q18" s="18" t="n">
        <v>1.54191453</v>
      </c>
      <c r="R18" s="20" t="n">
        <v>0.69539343</v>
      </c>
    </row>
    <row r="19" spans="1:18">
      <c r="A19" s="15" t="s">
        <v>361</v>
      </c>
      <c r="B19" s="17" t="n">
        <v>2850</v>
      </c>
      <c r="C19" s="18">
        <f>(2515.0/B19*100)</f>
        <v/>
      </c>
      <c r="D19" s="19" t="n">
        <v>335</v>
      </c>
      <c r="E19" s="18" t="n">
        <v>42.57926827</v>
      </c>
      <c r="F19" s="20" t="n">
        <v>2.78631634</v>
      </c>
      <c r="G19" s="18" t="n">
        <v>47.7135325</v>
      </c>
      <c r="H19" s="20" t="n">
        <v>2.99153164</v>
      </c>
      <c r="I19" s="18" t="s">
        <v>349</v>
      </c>
      <c r="J19" s="20" t="s">
        <v>349</v>
      </c>
      <c r="K19" s="18" t="n">
        <v>7.35563349</v>
      </c>
      <c r="L19" s="20" t="n">
        <v>1.54111858</v>
      </c>
      <c r="M19" s="18" t="n">
        <v>0</v>
      </c>
      <c r="N19" s="20" t="n">
        <v>0</v>
      </c>
      <c r="O19" s="18" t="n">
        <v>0</v>
      </c>
      <c r="P19" s="20" t="n">
        <v>0</v>
      </c>
      <c r="Q19" s="18" t="n">
        <v>2.35156574</v>
      </c>
      <c r="R19" s="20" t="n">
        <v>0.96073509</v>
      </c>
    </row>
    <row r="20" spans="1:18">
      <c r="A20" s="15" t="s">
        <v>362</v>
      </c>
      <c r="B20" s="17" t="n">
        <v>1741</v>
      </c>
      <c r="C20" s="18">
        <f>(1530.0/B20*100)</f>
        <v/>
      </c>
      <c r="D20" s="19" t="n">
        <v>211</v>
      </c>
      <c r="E20" s="18" t="n">
        <v>41.80796545</v>
      </c>
      <c r="F20" s="20" t="n">
        <v>3.5281679</v>
      </c>
      <c r="G20" s="18" t="n">
        <v>47.61624704</v>
      </c>
      <c r="H20" s="20" t="n">
        <v>3.41646042</v>
      </c>
      <c r="I20" s="18" t="s">
        <v>349</v>
      </c>
      <c r="J20" s="20" t="s">
        <v>349</v>
      </c>
      <c r="K20" s="18" t="n">
        <v>6.54690624</v>
      </c>
      <c r="L20" s="20" t="n">
        <v>1.82054197</v>
      </c>
      <c r="M20" s="18" t="n">
        <v>0</v>
      </c>
      <c r="N20" s="20" t="n">
        <v>0</v>
      </c>
      <c r="O20" s="18" t="n">
        <v>0</v>
      </c>
      <c r="P20" s="20" t="n">
        <v>0</v>
      </c>
      <c r="Q20" s="18" t="n">
        <v>4.02888128</v>
      </c>
      <c r="R20" s="20" t="n">
        <v>1.44385424</v>
      </c>
    </row>
    <row r="21" spans="1:18">
      <c r="A21" s="15" t="s">
        <v>363</v>
      </c>
      <c r="B21" s="17" t="n">
        <v>2833</v>
      </c>
      <c r="C21" s="18">
        <f>(2380.0/B21*100)</f>
        <v/>
      </c>
      <c r="D21" s="19" t="n">
        <v>453</v>
      </c>
      <c r="E21" s="18" t="n">
        <v>30.58863695</v>
      </c>
      <c r="F21" s="20" t="n">
        <v>2.24371345</v>
      </c>
      <c r="G21" s="18" t="n">
        <v>64.68500720999999</v>
      </c>
      <c r="H21" s="20" t="n">
        <v>2.48471508</v>
      </c>
      <c r="I21" s="18" t="s">
        <v>349</v>
      </c>
      <c r="J21" s="20" t="s">
        <v>349</v>
      </c>
      <c r="K21" s="18" t="n">
        <v>3.97047003</v>
      </c>
      <c r="L21" s="20" t="n">
        <v>0.86695503</v>
      </c>
      <c r="M21" s="18" t="n">
        <v>0</v>
      </c>
      <c r="N21" s="20" t="n">
        <v>0</v>
      </c>
      <c r="O21" s="18" t="n">
        <v>0</v>
      </c>
      <c r="P21" s="20" t="n">
        <v>0</v>
      </c>
      <c r="Q21" s="18" t="n">
        <v>0.75588581</v>
      </c>
      <c r="R21" s="20" t="n">
        <v>0.3757603</v>
      </c>
    </row>
    <row r="22" spans="1:18">
      <c r="A22" s="15" t="s">
        <v>364</v>
      </c>
      <c r="B22" s="17" t="n">
        <v>3667</v>
      </c>
      <c r="C22" s="18">
        <f>(3202.0/B22*100)</f>
        <v/>
      </c>
      <c r="D22" s="19" t="n">
        <v>465</v>
      </c>
      <c r="E22" s="18" t="n">
        <v>41.56763715</v>
      </c>
      <c r="F22" s="20" t="n">
        <v>2.19565725</v>
      </c>
      <c r="G22" s="18" t="n">
        <v>43.57877942</v>
      </c>
      <c r="H22" s="20" t="n">
        <v>2.63145738</v>
      </c>
      <c r="I22" s="18" t="s">
        <v>349</v>
      </c>
      <c r="J22" s="20" t="s">
        <v>349</v>
      </c>
      <c r="K22" s="18" t="n">
        <v>12.01761595</v>
      </c>
      <c r="L22" s="20" t="n">
        <v>1.92580796</v>
      </c>
      <c r="M22" s="18" t="n">
        <v>0</v>
      </c>
      <c r="N22" s="20" t="n">
        <v>0</v>
      </c>
      <c r="O22" s="18" t="n">
        <v>0</v>
      </c>
      <c r="P22" s="20" t="n">
        <v>0</v>
      </c>
      <c r="Q22" s="18" t="n">
        <v>2.83596748</v>
      </c>
      <c r="R22" s="20" t="n">
        <v>0.85978122</v>
      </c>
    </row>
    <row r="23" spans="1:18">
      <c r="A23" s="15" t="s">
        <v>365</v>
      </c>
      <c r="B23" s="17" t="n">
        <v>5792</v>
      </c>
      <c r="C23" s="18">
        <f>(5087.0/B23*100)</f>
        <v/>
      </c>
      <c r="D23" s="19" t="n">
        <v>705</v>
      </c>
      <c r="E23" s="18" t="n">
        <v>36.61889573</v>
      </c>
      <c r="F23" s="20" t="n">
        <v>2.8406155</v>
      </c>
      <c r="G23" s="18" t="n">
        <v>43.74958333</v>
      </c>
      <c r="H23" s="20" t="n">
        <v>2.6329379</v>
      </c>
      <c r="I23" s="18" t="s">
        <v>349</v>
      </c>
      <c r="J23" s="20" t="s">
        <v>349</v>
      </c>
      <c r="K23" s="18" t="n">
        <v>14.16516143</v>
      </c>
      <c r="L23" s="20" t="n">
        <v>1.90963023</v>
      </c>
      <c r="M23" s="18" t="n">
        <v>0</v>
      </c>
      <c r="N23" s="20" t="n">
        <v>0</v>
      </c>
      <c r="O23" s="18" t="n">
        <v>0</v>
      </c>
      <c r="P23" s="20" t="n">
        <v>0</v>
      </c>
      <c r="Q23" s="18" t="n">
        <v>5.46635951</v>
      </c>
      <c r="R23" s="20" t="n">
        <v>0.82003481</v>
      </c>
    </row>
    <row r="24" spans="1:18">
      <c r="A24" s="15" t="s">
        <v>366</v>
      </c>
      <c r="B24" s="17" t="n">
        <v>3309</v>
      </c>
      <c r="C24" s="18">
        <f>(2935.0/B24*100)</f>
        <v/>
      </c>
      <c r="D24" s="19" t="n">
        <v>374</v>
      </c>
      <c r="E24" s="18" t="n">
        <v>36.81404049</v>
      </c>
      <c r="F24" s="20" t="n">
        <v>2.512379</v>
      </c>
      <c r="G24" s="18" t="n">
        <v>55.73925181</v>
      </c>
      <c r="H24" s="20" t="n">
        <v>2.80039592</v>
      </c>
      <c r="I24" s="18" t="s">
        <v>349</v>
      </c>
      <c r="J24" s="20" t="s">
        <v>349</v>
      </c>
      <c r="K24" s="18" t="n">
        <v>6.9849712</v>
      </c>
      <c r="L24" s="20" t="n">
        <v>1.38597184</v>
      </c>
      <c r="M24" s="18" t="n">
        <v>0</v>
      </c>
      <c r="N24" s="20" t="n">
        <v>0</v>
      </c>
      <c r="O24" s="18" t="n">
        <v>0</v>
      </c>
      <c r="P24" s="20" t="n">
        <v>0</v>
      </c>
      <c r="Q24" s="18" t="n">
        <v>0.4617365</v>
      </c>
      <c r="R24" s="20" t="n">
        <v>0.33053304</v>
      </c>
    </row>
    <row r="25" spans="1:18">
      <c r="A25" s="15" t="s">
        <v>367</v>
      </c>
      <c r="B25" s="17" t="n">
        <v>2669</v>
      </c>
      <c r="C25" s="18">
        <f>(2361.0/B25*100)</f>
        <v/>
      </c>
      <c r="D25" s="19" t="n">
        <v>308</v>
      </c>
      <c r="E25" s="18" t="n">
        <v>35.25762824</v>
      </c>
      <c r="F25" s="20" t="n">
        <v>2.70271267</v>
      </c>
      <c r="G25" s="18" t="n">
        <v>61.00305681</v>
      </c>
      <c r="H25" s="20" t="n">
        <v>2.99073769</v>
      </c>
      <c r="I25" s="18" t="s">
        <v>349</v>
      </c>
      <c r="J25" s="20" t="s">
        <v>349</v>
      </c>
      <c r="K25" s="18" t="n">
        <v>3.11065048</v>
      </c>
      <c r="L25" s="20" t="n">
        <v>1.13836935</v>
      </c>
      <c r="M25" s="18" t="n">
        <v>0</v>
      </c>
      <c r="N25" s="20" t="n">
        <v>0</v>
      </c>
      <c r="O25" s="18" t="n">
        <v>0</v>
      </c>
      <c r="P25" s="20" t="n">
        <v>0</v>
      </c>
      <c r="Q25" s="18" t="n">
        <v>0.62866447</v>
      </c>
      <c r="R25" s="20" t="n">
        <v>0.4427722</v>
      </c>
    </row>
    <row r="26" spans="1:18">
      <c r="A26" s="15" t="s">
        <v>368</v>
      </c>
      <c r="B26" s="17" t="n">
        <v>2419</v>
      </c>
      <c r="C26" s="18">
        <f>(2108.0/B26*100)</f>
        <v/>
      </c>
      <c r="D26" s="19" t="n">
        <v>311</v>
      </c>
      <c r="E26" s="18" t="n">
        <v>64.16103361</v>
      </c>
      <c r="F26" s="20" t="n">
        <v>3.13203869</v>
      </c>
      <c r="G26" s="18" t="n">
        <v>27.56294053</v>
      </c>
      <c r="H26" s="20" t="n">
        <v>2.94681039</v>
      </c>
      <c r="I26" s="18" t="s">
        <v>349</v>
      </c>
      <c r="J26" s="20" t="s">
        <v>349</v>
      </c>
      <c r="K26" s="18" t="n">
        <v>3.14178555</v>
      </c>
      <c r="L26" s="20" t="n">
        <v>0.89166098</v>
      </c>
      <c r="M26" s="18" t="n">
        <v>0</v>
      </c>
      <c r="N26" s="20" t="n">
        <v>0</v>
      </c>
      <c r="O26" s="18" t="n">
        <v>0</v>
      </c>
      <c r="P26" s="20" t="n">
        <v>0</v>
      </c>
      <c r="Q26" s="18" t="n">
        <v>5.13424031</v>
      </c>
      <c r="R26" s="20" t="n">
        <v>1.22148808</v>
      </c>
    </row>
    <row r="27" spans="1:18">
      <c r="A27" s="15" t="s">
        <v>369</v>
      </c>
      <c r="B27" s="17" t="n">
        <v>2683</v>
      </c>
      <c r="C27" s="18">
        <f>(2366.0/B27*100)</f>
        <v/>
      </c>
      <c r="D27" s="19" t="n">
        <v>317</v>
      </c>
      <c r="E27" s="18" t="n">
        <v>43.07700241</v>
      </c>
      <c r="F27" s="20" t="n">
        <v>2.77198315</v>
      </c>
      <c r="G27" s="18" t="n">
        <v>43.84947322</v>
      </c>
      <c r="H27" s="20" t="n">
        <v>2.65998984</v>
      </c>
      <c r="I27" s="18" t="s">
        <v>349</v>
      </c>
      <c r="J27" s="20" t="s">
        <v>349</v>
      </c>
      <c r="K27" s="18" t="n">
        <v>10.23105129</v>
      </c>
      <c r="L27" s="20" t="n">
        <v>1.79556309</v>
      </c>
      <c r="M27" s="18" t="n">
        <v>0</v>
      </c>
      <c r="N27" s="20" t="n">
        <v>0</v>
      </c>
      <c r="O27" s="18" t="n">
        <v>0</v>
      </c>
      <c r="P27" s="20" t="n">
        <v>0</v>
      </c>
      <c r="Q27" s="18" t="n">
        <v>2.84247309</v>
      </c>
      <c r="R27" s="20" t="n">
        <v>0.93221774</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(2375.0/B29*100)</f>
        <v/>
      </c>
      <c r="D29" s="19" t="n">
        <v>325</v>
      </c>
      <c r="E29" s="18" t="n">
        <v>25.97067508</v>
      </c>
      <c r="F29" s="20" t="n">
        <v>2.39326319</v>
      </c>
      <c r="G29" s="18" t="n">
        <v>68.39556828000001</v>
      </c>
      <c r="H29" s="20" t="n">
        <v>2.77574531</v>
      </c>
      <c r="I29" s="18" t="s">
        <v>349</v>
      </c>
      <c r="J29" s="20" t="s">
        <v>349</v>
      </c>
      <c r="K29" s="18" t="n">
        <v>4.98817155</v>
      </c>
      <c r="L29" s="20" t="n">
        <v>1.24438552</v>
      </c>
      <c r="M29" s="18" t="n">
        <v>0</v>
      </c>
      <c r="N29" s="20" t="n">
        <v>0</v>
      </c>
      <c r="O29" s="18" t="n">
        <v>0</v>
      </c>
      <c r="P29" s="20" t="n">
        <v>0</v>
      </c>
      <c r="Q29" s="18" t="n">
        <v>0.64558509</v>
      </c>
      <c r="R29" s="20" t="n">
        <v>0.54114186</v>
      </c>
    </row>
    <row r="30" spans="1:18">
      <c r="A30" s="15" t="s">
        <v>372</v>
      </c>
      <c r="B30" s="17" t="n">
        <v>2257</v>
      </c>
      <c r="C30" s="18">
        <f>(1984.0/B30*100)</f>
        <v/>
      </c>
      <c r="D30" s="19" t="n">
        <v>273</v>
      </c>
      <c r="E30" s="18" t="n">
        <v>41.70924074</v>
      </c>
      <c r="F30" s="20" t="n">
        <v>2.91126657</v>
      </c>
      <c r="G30" s="18" t="n">
        <v>49.18074036</v>
      </c>
      <c r="H30" s="20" t="n">
        <v>2.94434788</v>
      </c>
      <c r="I30" s="18" t="s">
        <v>349</v>
      </c>
      <c r="J30" s="20" t="s">
        <v>349</v>
      </c>
      <c r="K30" s="18" t="n">
        <v>7.85276016</v>
      </c>
      <c r="L30" s="20" t="n">
        <v>1.75165178</v>
      </c>
      <c r="M30" s="18" t="n">
        <v>0</v>
      </c>
      <c r="N30" s="20" t="n">
        <v>0</v>
      </c>
      <c r="O30" s="18" t="n">
        <v>0</v>
      </c>
      <c r="P30" s="20" t="n">
        <v>0</v>
      </c>
      <c r="Q30" s="18" t="n">
        <v>1.25725874</v>
      </c>
      <c r="R30" s="20" t="n">
        <v>0.64884337</v>
      </c>
    </row>
    <row r="31" spans="1:18">
      <c r="A31" s="15" t="s">
        <v>373</v>
      </c>
      <c r="B31" s="17" t="n">
        <v>2706</v>
      </c>
      <c r="C31" s="18">
        <f>(2368.0/B31*100)</f>
        <v/>
      </c>
      <c r="D31" s="19" t="n">
        <v>338</v>
      </c>
      <c r="E31" s="18" t="n">
        <v>37.23623441</v>
      </c>
      <c r="F31" s="20" t="n">
        <v>2.81109992</v>
      </c>
      <c r="G31" s="18" t="n">
        <v>51.14995041</v>
      </c>
      <c r="H31" s="20" t="n">
        <v>2.92393328</v>
      </c>
      <c r="I31" s="18" t="s">
        <v>349</v>
      </c>
      <c r="J31" s="20" t="s">
        <v>349</v>
      </c>
      <c r="K31" s="18" t="n">
        <v>10.48517772</v>
      </c>
      <c r="L31" s="20" t="n">
        <v>1.50708611</v>
      </c>
      <c r="M31" s="18" t="n">
        <v>0</v>
      </c>
      <c r="N31" s="20" t="n">
        <v>0</v>
      </c>
      <c r="O31" s="18" t="n">
        <v>0</v>
      </c>
      <c r="P31" s="20" t="n">
        <v>0</v>
      </c>
      <c r="Q31" s="18" t="n">
        <v>1.12863746</v>
      </c>
      <c r="R31" s="20" t="n">
        <v>0.55376154</v>
      </c>
    </row>
    <row r="32" spans="1:18">
      <c r="A32" s="15" t="s">
        <v>374</v>
      </c>
      <c r="B32" s="17" t="n">
        <v>2209</v>
      </c>
      <c r="C32" s="18">
        <f>(1836.0/B32*100)</f>
        <v/>
      </c>
      <c r="D32" s="19" t="n">
        <v>373</v>
      </c>
      <c r="E32" s="18" t="n">
        <v>43.39229431</v>
      </c>
      <c r="F32" s="20" t="n">
        <v>2.51849278</v>
      </c>
      <c r="G32" s="18" t="n">
        <v>48.07027</v>
      </c>
      <c r="H32" s="20" t="n">
        <v>2.57857613</v>
      </c>
      <c r="I32" s="18" t="s">
        <v>349</v>
      </c>
      <c r="J32" s="20" t="s">
        <v>349</v>
      </c>
      <c r="K32" s="18" t="n">
        <v>6.27783947</v>
      </c>
      <c r="L32" s="20" t="n">
        <v>1.25200671</v>
      </c>
      <c r="M32" s="18" t="n">
        <v>0</v>
      </c>
      <c r="N32" s="20" t="n">
        <v>0</v>
      </c>
      <c r="O32" s="18" t="n">
        <v>0</v>
      </c>
      <c r="P32" s="20" t="n">
        <v>0</v>
      </c>
      <c r="Q32" s="18" t="n">
        <v>2.25959623</v>
      </c>
      <c r="R32" s="20" t="n">
        <v>0.56810857</v>
      </c>
    </row>
    <row r="33" spans="1:18">
      <c r="A33" s="15" t="s">
        <v>375</v>
      </c>
      <c r="B33" s="17" t="n">
        <v>3651</v>
      </c>
      <c r="C33" s="18">
        <f>(3221.0/B33*100)</f>
        <v/>
      </c>
      <c r="D33" s="19" t="n">
        <v>430</v>
      </c>
      <c r="E33" s="18" t="n">
        <v>44.69335936</v>
      </c>
      <c r="F33" s="20" t="n">
        <v>2.77176508</v>
      </c>
      <c r="G33" s="18" t="n">
        <v>45.18538227</v>
      </c>
      <c r="H33" s="20" t="n">
        <v>2.771368</v>
      </c>
      <c r="I33" s="18" t="s">
        <v>349</v>
      </c>
      <c r="J33" s="20" t="s">
        <v>349</v>
      </c>
      <c r="K33" s="18" t="n">
        <v>7.51458935</v>
      </c>
      <c r="L33" s="20" t="n">
        <v>1.36022704</v>
      </c>
      <c r="M33" s="18" t="n">
        <v>0</v>
      </c>
      <c r="N33" s="20" t="n">
        <v>0</v>
      </c>
      <c r="O33" s="18" t="n">
        <v>0</v>
      </c>
      <c r="P33" s="20" t="n">
        <v>0</v>
      </c>
      <c r="Q33" s="18" t="n">
        <v>2.60666901</v>
      </c>
      <c r="R33" s="20" t="n">
        <v>0.87857706</v>
      </c>
    </row>
    <row r="34" spans="1:18">
      <c r="A34" s="15" t="s">
        <v>376</v>
      </c>
      <c r="B34" s="17" t="n">
        <v>3035</v>
      </c>
      <c r="C34" s="18">
        <f>(2652.0/B34*100)</f>
        <v/>
      </c>
      <c r="D34" s="19" t="n">
        <v>383</v>
      </c>
      <c r="E34" s="18" t="n">
        <v>39.00625571</v>
      </c>
      <c r="F34" s="20" t="n">
        <v>2.68064619</v>
      </c>
      <c r="G34" s="18" t="n">
        <v>50.45420116</v>
      </c>
      <c r="H34" s="20" t="n">
        <v>2.90169268</v>
      </c>
      <c r="I34" s="18" t="s">
        <v>349</v>
      </c>
      <c r="J34" s="20" t="s">
        <v>349</v>
      </c>
      <c r="K34" s="18" t="n">
        <v>7.46364931</v>
      </c>
      <c r="L34" s="20" t="n">
        <v>1.52019228</v>
      </c>
      <c r="M34" s="18" t="n">
        <v>0</v>
      </c>
      <c r="N34" s="20" t="n">
        <v>0</v>
      </c>
      <c r="O34" s="18" t="n">
        <v>0</v>
      </c>
      <c r="P34" s="20" t="n">
        <v>0</v>
      </c>
      <c r="Q34" s="18" t="n">
        <v>3.07589382</v>
      </c>
      <c r="R34" s="20" t="n">
        <v>0.91256328</v>
      </c>
    </row>
    <row r="35" spans="1:18">
      <c r="A35" s="15" t="s">
        <v>377</v>
      </c>
      <c r="B35" s="17" t="n">
        <v>2901</v>
      </c>
      <c r="C35" s="18">
        <f>(2534.0/B35*100)</f>
        <v/>
      </c>
      <c r="D35" s="19" t="n">
        <v>367</v>
      </c>
      <c r="E35" s="18" t="n">
        <v>34.31467483</v>
      </c>
      <c r="F35" s="20" t="n">
        <v>3.23924693</v>
      </c>
      <c r="G35" s="18" t="n">
        <v>54.48806073</v>
      </c>
      <c r="H35" s="20" t="n">
        <v>3.1000444</v>
      </c>
      <c r="I35" s="18" t="s">
        <v>349</v>
      </c>
      <c r="J35" s="20" t="s">
        <v>349</v>
      </c>
      <c r="K35" s="18" t="n">
        <v>8.06932454</v>
      </c>
      <c r="L35" s="20" t="n">
        <v>1.74346795</v>
      </c>
      <c r="M35" s="18" t="n">
        <v>0</v>
      </c>
      <c r="N35" s="20" t="n">
        <v>0</v>
      </c>
      <c r="O35" s="18" t="n">
        <v>0</v>
      </c>
      <c r="P35" s="20" t="n">
        <v>0</v>
      </c>
      <c r="Q35" s="18" t="n">
        <v>3.1279399</v>
      </c>
      <c r="R35" s="20" t="n">
        <v>0.96510777</v>
      </c>
    </row>
    <row r="36" spans="1:18">
      <c r="A36" s="15" t="s">
        <v>378</v>
      </c>
      <c r="B36" s="17" t="n">
        <v>3404</v>
      </c>
      <c r="C36" s="18">
        <f>(3004.0/B36*100)</f>
        <v/>
      </c>
      <c r="D36" s="19" t="n">
        <v>400</v>
      </c>
      <c r="E36" s="18" t="n">
        <v>36.71373759</v>
      </c>
      <c r="F36" s="20" t="n">
        <v>2.39395998</v>
      </c>
      <c r="G36" s="18" t="n">
        <v>54.85838573</v>
      </c>
      <c r="H36" s="20" t="n">
        <v>2.53394343</v>
      </c>
      <c r="I36" s="18" t="s">
        <v>349</v>
      </c>
      <c r="J36" s="20" t="s">
        <v>349</v>
      </c>
      <c r="K36" s="18" t="n">
        <v>6.66941675</v>
      </c>
      <c r="L36" s="20" t="n">
        <v>1.38097956</v>
      </c>
      <c r="M36" s="18" t="n">
        <v>0</v>
      </c>
      <c r="N36" s="20" t="n">
        <v>0</v>
      </c>
      <c r="O36" s="18" t="n">
        <v>0</v>
      </c>
      <c r="P36" s="20" t="n">
        <v>0</v>
      </c>
      <c r="Q36" s="18" t="n">
        <v>1.75845993</v>
      </c>
      <c r="R36" s="20" t="n">
        <v>0.69085799</v>
      </c>
    </row>
    <row r="37" spans="1:18">
      <c r="A37" s="15" t="s">
        <v>379</v>
      </c>
      <c r="B37" s="17" t="n">
        <v>2731</v>
      </c>
      <c r="C37" s="18">
        <f>(2414.0/B37*100)</f>
        <v/>
      </c>
      <c r="D37" s="19" t="n">
        <v>317</v>
      </c>
      <c r="E37" s="18" t="n">
        <v>36.34217862</v>
      </c>
      <c r="F37" s="20" t="n">
        <v>3.42568458</v>
      </c>
      <c r="G37" s="18" t="n">
        <v>42.16401425</v>
      </c>
      <c r="H37" s="20" t="n">
        <v>3.20104616</v>
      </c>
      <c r="I37" s="18" t="s">
        <v>349</v>
      </c>
      <c r="J37" s="20" t="s">
        <v>349</v>
      </c>
      <c r="K37" s="18" t="n">
        <v>19.03606469</v>
      </c>
      <c r="L37" s="20" t="n">
        <v>2.72209255</v>
      </c>
      <c r="M37" s="18" t="n">
        <v>0</v>
      </c>
      <c r="N37" s="20" t="n">
        <v>0</v>
      </c>
      <c r="O37" s="18" t="n">
        <v>0</v>
      </c>
      <c r="P37" s="20" t="n">
        <v>0</v>
      </c>
      <c r="Q37" s="18" t="n">
        <v>2.45774244</v>
      </c>
      <c r="R37" s="20" t="n">
        <v>0.86634446</v>
      </c>
    </row>
    <row r="38" spans="1:18">
      <c r="A38" s="15" t="s">
        <v>380</v>
      </c>
      <c r="B38" s="17" t="n">
        <v>2807</v>
      </c>
      <c r="C38" s="18">
        <f>(2364.0/B38*100)</f>
        <v/>
      </c>
      <c r="D38" s="19" t="n">
        <v>443</v>
      </c>
      <c r="E38" s="18" t="n">
        <v>33.73858873</v>
      </c>
      <c r="F38" s="20" t="n">
        <v>2.72914588</v>
      </c>
      <c r="G38" s="18" t="n">
        <v>56.99708395</v>
      </c>
      <c r="H38" s="20" t="n">
        <v>3.00083598</v>
      </c>
      <c r="I38" s="18" t="s">
        <v>349</v>
      </c>
      <c r="J38" s="20" t="s">
        <v>349</v>
      </c>
      <c r="K38" s="18" t="n">
        <v>7.28237612</v>
      </c>
      <c r="L38" s="20" t="n">
        <v>1.22655893</v>
      </c>
      <c r="M38" s="18" t="n">
        <v>0</v>
      </c>
      <c r="N38" s="20" t="n">
        <v>0</v>
      </c>
      <c r="O38" s="18" t="n">
        <v>0</v>
      </c>
      <c r="P38" s="20" t="n">
        <v>0</v>
      </c>
      <c r="Q38" s="18" t="n">
        <v>1.9819512</v>
      </c>
      <c r="R38" s="20" t="n">
        <v>0.94509904</v>
      </c>
    </row>
    <row r="39" spans="1:18">
      <c r="A39" s="15" t="s">
        <v>381</v>
      </c>
      <c r="B39" s="17" t="n">
        <v>2938</v>
      </c>
      <c r="C39" s="18">
        <f>(2567.0/B39*100)</f>
        <v/>
      </c>
      <c r="D39" s="19" t="n">
        <v>371</v>
      </c>
      <c r="E39" s="18" t="n">
        <v>70.57726253</v>
      </c>
      <c r="F39" s="20" t="n">
        <v>2.58049297</v>
      </c>
      <c r="G39" s="18" t="n">
        <v>20.57578152</v>
      </c>
      <c r="H39" s="20" t="n">
        <v>2.59699252</v>
      </c>
      <c r="I39" s="18" t="s">
        <v>349</v>
      </c>
      <c r="J39" s="20" t="s">
        <v>349</v>
      </c>
      <c r="K39" s="18" t="n">
        <v>6.5165758</v>
      </c>
      <c r="L39" s="20" t="n">
        <v>1.27736324</v>
      </c>
      <c r="M39" s="18" t="n">
        <v>0</v>
      </c>
      <c r="N39" s="20" t="n">
        <v>0</v>
      </c>
      <c r="O39" s="18" t="n">
        <v>0</v>
      </c>
      <c r="P39" s="20" t="n">
        <v>0</v>
      </c>
      <c r="Q39" s="18" t="n">
        <v>2.33038016</v>
      </c>
      <c r="R39" s="20" t="n">
        <v>0.6602584</v>
      </c>
    </row>
    <row r="40" spans="1:18">
      <c r="A40" s="15" t="s">
        <v>382</v>
      </c>
      <c r="B40" s="17" t="n">
        <v>6922</v>
      </c>
      <c r="C40" s="18">
        <f>(6016.0/B40*100)</f>
        <v/>
      </c>
      <c r="D40" s="19" t="n">
        <v>906</v>
      </c>
      <c r="E40" s="18" t="n">
        <v>36.00991841</v>
      </c>
      <c r="F40" s="20" t="n">
        <v>2.4244661</v>
      </c>
      <c r="G40" s="18" t="n">
        <v>54.09550909</v>
      </c>
      <c r="H40" s="20" t="n">
        <v>2.51306043</v>
      </c>
      <c r="I40" s="18" t="s">
        <v>349</v>
      </c>
      <c r="J40" s="20" t="s">
        <v>349</v>
      </c>
      <c r="K40" s="18" t="n">
        <v>7.88457118</v>
      </c>
      <c r="L40" s="20" t="n">
        <v>1.36112344</v>
      </c>
      <c r="M40" s="18" t="n">
        <v>0</v>
      </c>
      <c r="N40" s="20" t="n">
        <v>0</v>
      </c>
      <c r="O40" s="18" t="n">
        <v>0</v>
      </c>
      <c r="P40" s="20" t="n">
        <v>0</v>
      </c>
      <c r="Q40" s="18" t="n">
        <v>2.01000133</v>
      </c>
      <c r="R40" s="20" t="n">
        <v>0.49666326</v>
      </c>
    </row>
    <row r="41" spans="1:18">
      <c r="A41" s="15" t="s">
        <v>383</v>
      </c>
      <c r="B41" s="17" t="n">
        <v>2854</v>
      </c>
      <c r="C41" s="18">
        <f>(2501.0/B41*100)</f>
        <v/>
      </c>
      <c r="D41" s="19" t="n">
        <v>353</v>
      </c>
      <c r="E41" s="18" t="n">
        <v>55.58246537</v>
      </c>
      <c r="F41" s="20" t="n">
        <v>2.9095197</v>
      </c>
      <c r="G41" s="18" t="n">
        <v>41.82385113</v>
      </c>
      <c r="H41" s="20" t="n">
        <v>2.97202291</v>
      </c>
      <c r="I41" s="18" t="s">
        <v>349</v>
      </c>
      <c r="J41" s="20" t="s">
        <v>349</v>
      </c>
      <c r="K41" s="18" t="n">
        <v>2.0786409</v>
      </c>
      <c r="L41" s="20" t="n">
        <v>0.76290196</v>
      </c>
      <c r="M41" s="18" t="n">
        <v>0</v>
      </c>
      <c r="N41" s="20" t="n">
        <v>0</v>
      </c>
      <c r="O41" s="18" t="n">
        <v>0</v>
      </c>
      <c r="P41" s="20" t="n">
        <v>0</v>
      </c>
      <c r="Q41" s="18" t="n">
        <v>0.51504259</v>
      </c>
      <c r="R41" s="20" t="n">
        <v>0.37296272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(4114.0/B48*100)</f>
        <v/>
      </c>
      <c r="D48" s="19" t="n">
        <v>568</v>
      </c>
      <c r="E48" s="18" t="n">
        <v>29.98521835</v>
      </c>
      <c r="F48" s="20" t="n">
        <v>3.12680851</v>
      </c>
      <c r="G48" s="18" t="n">
        <v>65.78240997</v>
      </c>
      <c r="H48" s="20" t="n">
        <v>2.85561895</v>
      </c>
      <c r="I48" s="18" t="s">
        <v>349</v>
      </c>
      <c r="J48" s="20" t="s">
        <v>349</v>
      </c>
      <c r="K48" s="18" t="n">
        <v>2.68955818</v>
      </c>
      <c r="L48" s="20" t="n">
        <v>1.07493025</v>
      </c>
      <c r="M48" s="18" t="n">
        <v>0</v>
      </c>
      <c r="N48" s="20" t="n">
        <v>0</v>
      </c>
      <c r="O48" s="18" t="n">
        <v>0</v>
      </c>
      <c r="P48" s="20" t="n">
        <v>0</v>
      </c>
      <c r="Q48" s="18" t="n">
        <v>1.5428135</v>
      </c>
      <c r="R48" s="20" t="n">
        <v>0.65376646</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(2625.0/B52*100)</f>
        <v/>
      </c>
      <c r="D52" s="19" t="n">
        <v>388</v>
      </c>
      <c r="E52" s="18" t="n">
        <v>48.49656881</v>
      </c>
      <c r="F52" s="20" t="n">
        <v>2.73337057</v>
      </c>
      <c r="G52" s="18" t="n">
        <v>35.21147636</v>
      </c>
      <c r="H52" s="20" t="n">
        <v>2.51732161</v>
      </c>
      <c r="I52" s="18" t="s">
        <v>349</v>
      </c>
      <c r="J52" s="20" t="s">
        <v>349</v>
      </c>
      <c r="K52" s="18" t="n">
        <v>13.68563729</v>
      </c>
      <c r="L52" s="20" t="n">
        <v>1.83215062</v>
      </c>
      <c r="M52" s="18" t="n">
        <v>0</v>
      </c>
      <c r="N52" s="20" t="n">
        <v>0</v>
      </c>
      <c r="O52" s="18" t="n">
        <v>0</v>
      </c>
      <c r="P52" s="20" t="n">
        <v>0</v>
      </c>
      <c r="Q52" s="18" t="n">
        <v>2.60631754</v>
      </c>
      <c r="R52" s="20" t="n">
        <v>0.84220779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(2348.0/B56*100)</f>
        <v/>
      </c>
      <c r="D56" s="19" t="n">
        <v>327</v>
      </c>
      <c r="E56" s="18" t="n">
        <v>24.02750743</v>
      </c>
      <c r="F56" s="20" t="n">
        <v>2.39328254</v>
      </c>
      <c r="G56" s="18" t="n">
        <v>74.30942231</v>
      </c>
      <c r="H56" s="20" t="n">
        <v>2.4910951</v>
      </c>
      <c r="I56" s="18" t="s">
        <v>349</v>
      </c>
      <c r="J56" s="20" t="s">
        <v>349</v>
      </c>
      <c r="K56" s="18" t="n">
        <v>1.18752533</v>
      </c>
      <c r="L56" s="20" t="n">
        <v>0.64507684</v>
      </c>
      <c r="M56" s="18" t="n">
        <v>0</v>
      </c>
      <c r="N56" s="20" t="n">
        <v>0</v>
      </c>
      <c r="O56" s="18" t="n">
        <v>0</v>
      </c>
      <c r="P56" s="20" t="n">
        <v>0</v>
      </c>
      <c r="Q56" s="18" t="n">
        <v>0.47554493</v>
      </c>
      <c r="R56" s="20" t="n">
        <v>0.31548807</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(2824.0/B61*100)</f>
        <v/>
      </c>
      <c r="D61" s="19" t="n">
        <v>377</v>
      </c>
      <c r="E61" s="18" t="n">
        <v>42.95015888</v>
      </c>
      <c r="F61" s="20" t="n">
        <v>2.98846091</v>
      </c>
      <c r="G61" s="18" t="n">
        <v>47.76713162</v>
      </c>
      <c r="H61" s="20" t="n">
        <v>3.0547877</v>
      </c>
      <c r="I61" s="18" t="s">
        <v>349</v>
      </c>
      <c r="J61" s="20" t="s">
        <v>349</v>
      </c>
      <c r="K61" s="18" t="n">
        <v>6.9910166</v>
      </c>
      <c r="L61" s="20" t="n">
        <v>1.22441877</v>
      </c>
      <c r="M61" s="18" t="n">
        <v>0</v>
      </c>
      <c r="N61" s="20" t="n">
        <v>0</v>
      </c>
      <c r="O61" s="18" t="n">
        <v>0</v>
      </c>
      <c r="P61" s="20" t="n">
        <v>0</v>
      </c>
      <c r="Q61" s="18" t="n">
        <v>2.2916929</v>
      </c>
      <c r="R61" s="20" t="n">
        <v>0.85343508</v>
      </c>
    </row>
    <row r="62" spans="1:18">
      <c r="A62" s="15" t="s">
        <v>404</v>
      </c>
      <c r="B62" s="17" t="n">
        <v>2230</v>
      </c>
      <c r="C62" s="18">
        <f>(1956.0/B62*100)</f>
        <v/>
      </c>
      <c r="D62" s="19" t="n">
        <v>274</v>
      </c>
      <c r="E62" s="18" t="n">
        <v>29.25564433</v>
      </c>
      <c r="F62" s="20" t="n">
        <v>2.46921306</v>
      </c>
      <c r="G62" s="18" t="n">
        <v>68.92165085000001</v>
      </c>
      <c r="H62" s="20" t="n">
        <v>2.56676331</v>
      </c>
      <c r="I62" s="18" t="s">
        <v>349</v>
      </c>
      <c r="J62" s="20" t="s">
        <v>349</v>
      </c>
      <c r="K62" s="18" t="n">
        <v>0.735477</v>
      </c>
      <c r="L62" s="20" t="n">
        <v>0.51381164</v>
      </c>
      <c r="M62" s="18" t="n">
        <v>0</v>
      </c>
      <c r="N62" s="20" t="n">
        <v>0</v>
      </c>
      <c r="O62" s="18" t="n">
        <v>0</v>
      </c>
      <c r="P62" s="20" t="n">
        <v>0</v>
      </c>
      <c r="Q62" s="18" t="n">
        <v>1.08722782</v>
      </c>
      <c r="R62" s="20" t="n">
        <v>0.61924913</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(2450.0/B66*100)</f>
        <v/>
      </c>
      <c r="D66" s="19" t="n">
        <v>321</v>
      </c>
      <c r="E66" s="18" t="n">
        <v>49.52217486</v>
      </c>
      <c r="F66" s="20" t="n">
        <v>2.78054394</v>
      </c>
      <c r="G66" s="18" t="n">
        <v>25.74031967</v>
      </c>
      <c r="H66" s="20" t="n">
        <v>2.61713983</v>
      </c>
      <c r="I66" s="18" t="s">
        <v>349</v>
      </c>
      <c r="J66" s="20" t="s">
        <v>349</v>
      </c>
      <c r="K66" s="18" t="n">
        <v>19.01953547</v>
      </c>
      <c r="L66" s="20" t="n">
        <v>2.19573478</v>
      </c>
      <c r="M66" s="18" t="n">
        <v>0</v>
      </c>
      <c r="N66" s="20" t="n">
        <v>0</v>
      </c>
      <c r="O66" s="18" t="n">
        <v>0</v>
      </c>
      <c r="P66" s="20" t="n">
        <v>0</v>
      </c>
      <c r="Q66" s="18" t="n">
        <v>5.71797</v>
      </c>
      <c r="R66" s="20" t="n">
        <v>1.29651083</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(5032.0/B68*100)</f>
        <v/>
      </c>
      <c r="D68" s="19" t="n">
        <v>1002</v>
      </c>
      <c r="E68" s="18" t="n">
        <v>57.73327497</v>
      </c>
      <c r="F68" s="20" t="n">
        <v>1.30644097</v>
      </c>
      <c r="G68" s="18" t="n">
        <v>28.56981735</v>
      </c>
      <c r="H68" s="20" t="n">
        <v>1.392816</v>
      </c>
      <c r="I68" s="18" t="s">
        <v>349</v>
      </c>
      <c r="J68" s="20" t="s">
        <v>349</v>
      </c>
      <c r="K68" s="18" t="n">
        <v>10.43250188</v>
      </c>
      <c r="L68" s="20" t="n">
        <v>0.92789169</v>
      </c>
      <c r="M68" s="18" t="n">
        <v>0</v>
      </c>
      <c r="N68" s="20" t="n">
        <v>0</v>
      </c>
      <c r="O68" s="18" t="n">
        <v>0</v>
      </c>
      <c r="P68" s="20" t="n">
        <v>0</v>
      </c>
      <c r="Q68" s="18" t="n">
        <v>3.2644058</v>
      </c>
      <c r="R68" s="20" t="n">
        <v>0.51927652</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(2723.0/B70*100)</f>
        <v/>
      </c>
      <c r="D70" s="19" t="n">
        <v>384</v>
      </c>
      <c r="E70" s="18" t="n">
        <v>36.39342525</v>
      </c>
      <c r="F70" s="20" t="n">
        <v>3.2265905</v>
      </c>
      <c r="G70" s="18" t="n">
        <v>51.97497046</v>
      </c>
      <c r="H70" s="20" t="n">
        <v>3.25495894</v>
      </c>
      <c r="I70" s="18" t="s">
        <v>349</v>
      </c>
      <c r="J70" s="20" t="s">
        <v>349</v>
      </c>
      <c r="K70" s="18" t="n">
        <v>9.779020969999999</v>
      </c>
      <c r="L70" s="20" t="n">
        <v>1.50722175</v>
      </c>
      <c r="M70" s="18" t="n">
        <v>0</v>
      </c>
      <c r="N70" s="20" t="n">
        <v>0</v>
      </c>
      <c r="O70" s="18" t="n">
        <v>0</v>
      </c>
      <c r="P70" s="20" t="n">
        <v>0</v>
      </c>
      <c r="Q70" s="18" t="n">
        <v>1.85258332</v>
      </c>
      <c r="R70" s="20" t="n">
        <v>0.67111909</v>
      </c>
    </row>
    <row r="71" spans="1:18">
      <c r="A71" s="15" t="s">
        <v>413</v>
      </c>
      <c r="B71" s="17" t="n">
        <v>2973</v>
      </c>
      <c r="C71" s="18">
        <f>(2601.0/B71*100)</f>
        <v/>
      </c>
      <c r="D71" s="19" t="n">
        <v>372</v>
      </c>
      <c r="E71" s="18" t="n">
        <v>15.53763256</v>
      </c>
      <c r="F71" s="20" t="n">
        <v>2.10289205</v>
      </c>
      <c r="G71" s="18" t="n">
        <v>82.75916673</v>
      </c>
      <c r="H71" s="20" t="n">
        <v>2.13870642</v>
      </c>
      <c r="I71" s="18" t="s">
        <v>349</v>
      </c>
      <c r="J71" s="20" t="s">
        <v>349</v>
      </c>
      <c r="K71" s="18" t="n">
        <v>0.9449834499999999</v>
      </c>
      <c r="L71" s="20" t="n">
        <v>0.4703817</v>
      </c>
      <c r="M71" s="18" t="n">
        <v>0</v>
      </c>
      <c r="N71" s="20" t="n">
        <v>0</v>
      </c>
      <c r="O71" s="18" t="n">
        <v>0</v>
      </c>
      <c r="P71" s="20" t="n">
        <v>0</v>
      </c>
      <c r="Q71" s="18" t="n">
        <v>0.75821726</v>
      </c>
      <c r="R71" s="20" t="n">
        <v>0.43575701</v>
      </c>
    </row>
    <row r="72" spans="1:18">
      <c r="A72" s="15" t="s">
        <v>414</v>
      </c>
      <c r="B72" s="17" t="n">
        <v>3819</v>
      </c>
      <c r="C72" s="18">
        <f>(3342.0/B72*100)</f>
        <v/>
      </c>
      <c r="D72" s="19" t="n">
        <v>477</v>
      </c>
      <c r="E72" s="18" t="n">
        <v>27.72250477</v>
      </c>
      <c r="F72" s="20" t="n">
        <v>1.96407316</v>
      </c>
      <c r="G72" s="18" t="n">
        <v>69.21997856999999</v>
      </c>
      <c r="H72" s="20" t="n">
        <v>1.9937292</v>
      </c>
      <c r="I72" s="18" t="s">
        <v>349</v>
      </c>
      <c r="J72" s="20" t="s">
        <v>349</v>
      </c>
      <c r="K72" s="18" t="n">
        <v>2.55252435</v>
      </c>
      <c r="L72" s="20" t="n">
        <v>0.80946456</v>
      </c>
      <c r="M72" s="18" t="n">
        <v>0</v>
      </c>
      <c r="N72" s="20" t="n">
        <v>0</v>
      </c>
      <c r="O72" s="18" t="n">
        <v>0</v>
      </c>
      <c r="P72" s="20" t="n">
        <v>0</v>
      </c>
      <c r="Q72" s="18" t="n">
        <v>0.50499231</v>
      </c>
      <c r="R72" s="20" t="n">
        <v>0.29636097</v>
      </c>
    </row>
    <row r="73" spans="1:18">
      <c r="A73" s="15" t="s">
        <v>415</v>
      </c>
      <c r="B73" s="17" t="n">
        <v>4652</v>
      </c>
      <c r="C73" s="18">
        <f>(4126.0/B73*100)</f>
        <v/>
      </c>
      <c r="D73" s="19" t="n">
        <v>526</v>
      </c>
      <c r="E73" s="18" t="n">
        <v>75.7343511</v>
      </c>
      <c r="F73" s="20" t="n">
        <v>1.99611105</v>
      </c>
      <c r="G73" s="18" t="n">
        <v>23.0522118</v>
      </c>
      <c r="H73" s="20" t="n">
        <v>1.99831002</v>
      </c>
      <c r="I73" s="18" t="s">
        <v>349</v>
      </c>
      <c r="J73" s="20" t="s">
        <v>349</v>
      </c>
      <c r="K73" s="18" t="n">
        <v>1.19715206</v>
      </c>
      <c r="L73" s="20" t="n">
        <v>0.54622234</v>
      </c>
      <c r="M73" s="18" t="n">
        <v>0</v>
      </c>
      <c r="N73" s="20" t="n">
        <v>0</v>
      </c>
      <c r="O73" s="18" t="n">
        <v>0</v>
      </c>
      <c r="P73" s="20" t="n">
        <v>0</v>
      </c>
      <c r="Q73" s="18" t="n">
        <v>0.01628505</v>
      </c>
      <c r="R73" s="20" t="n">
        <v>0.01116221</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(4109.0/B81*100)</f>
        <v/>
      </c>
      <c r="D81" s="19" t="n">
        <v>589</v>
      </c>
      <c r="E81" s="18" t="n">
        <v>45.13183717</v>
      </c>
      <c r="F81" s="20" t="n">
        <v>2.48564475</v>
      </c>
      <c r="G81" s="18" t="n">
        <v>54.38208049</v>
      </c>
      <c r="H81" s="20" t="n">
        <v>2.49268258</v>
      </c>
      <c r="I81" s="18" t="s">
        <v>349</v>
      </c>
      <c r="J81" s="20" t="s">
        <v>349</v>
      </c>
      <c r="K81" s="18" t="n">
        <v>0.01442117</v>
      </c>
      <c r="L81" s="20" t="n">
        <v>0.01436903</v>
      </c>
      <c r="M81" s="18" t="n">
        <v>0</v>
      </c>
      <c r="N81" s="20" t="n">
        <v>0</v>
      </c>
      <c r="O81" s="18" t="n">
        <v>0</v>
      </c>
      <c r="P81" s="20" t="n">
        <v>0</v>
      </c>
      <c r="Q81" s="18" t="n">
        <v>0.47166117</v>
      </c>
      <c r="R81" s="20" t="n">
        <v>0.33953587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331</v>
      </c>
    </row>
    <row r="2" spans="1:22">
      <c r="A2" s="5" t="s">
        <v>520</v>
      </c>
    </row>
    <row customHeight="1" ht="30" r="4" spans="1:22">
      <c r="A4" s="6" t="n"/>
      <c r="B4" s="7" t="s">
        <v>333</v>
      </c>
      <c r="C4" s="7" t="s">
        <v>334</v>
      </c>
      <c r="D4" s="8" t="s">
        <v>333</v>
      </c>
      <c r="E4" s="9" t="s">
        <v>440</v>
      </c>
      <c r="F4" s="10" t="n"/>
      <c r="G4" s="9" t="s">
        <v>441</v>
      </c>
      <c r="H4" s="10" t="n"/>
      <c r="I4" s="9" t="s">
        <v>442</v>
      </c>
      <c r="J4" s="10" t="n"/>
      <c r="K4" s="9" t="s">
        <v>444</v>
      </c>
      <c r="L4" s="10" t="n"/>
      <c r="M4" s="9" t="s">
        <v>337</v>
      </c>
      <c r="N4" s="10" t="n"/>
      <c r="O4" s="9" t="s">
        <v>338</v>
      </c>
      <c r="P4" s="10" t="n"/>
      <c r="Q4" s="9" t="s">
        <v>339</v>
      </c>
      <c r="R4" s="10" t="n"/>
      <c r="S4" s="9" t="s">
        <v>340</v>
      </c>
      <c r="T4" s="10" t="n"/>
      <c r="U4" s="9" t="s">
        <v>341</v>
      </c>
      <c r="V4" s="10" t="n"/>
    </row>
    <row r="5" spans="1:22">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row>
    <row r="6" spans="1:22">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348</v>
      </c>
      <c r="B7" s="17" t="n">
        <v>7163</v>
      </c>
      <c r="C7" s="18">
        <f>(6314.0/B7*100)</f>
        <v/>
      </c>
      <c r="D7" s="19" t="n">
        <v>849</v>
      </c>
      <c r="E7" s="18" t="n">
        <v>63.081629</v>
      </c>
      <c r="F7" s="20" t="n">
        <v>2.02447356</v>
      </c>
      <c r="G7" s="18" t="n">
        <v>2.25134646</v>
      </c>
      <c r="H7" s="20" t="n">
        <v>0.5729057400000001</v>
      </c>
      <c r="I7" s="18" t="n">
        <v>5.53652535</v>
      </c>
      <c r="J7" s="20" t="n">
        <v>1.09552119</v>
      </c>
      <c r="K7" s="18" t="n">
        <v>9.96971256</v>
      </c>
      <c r="L7" s="20" t="n">
        <v>1.42786233</v>
      </c>
      <c r="M7" s="18" t="s">
        <v>349</v>
      </c>
      <c r="N7" s="20" t="s">
        <v>349</v>
      </c>
      <c r="O7" s="18" t="n">
        <v>19.1486265</v>
      </c>
      <c r="P7" s="20" t="n">
        <v>1.37761785</v>
      </c>
      <c r="Q7" s="18" t="n">
        <v>0.01216013</v>
      </c>
      <c r="R7" s="20" t="n">
        <v>0.0123673</v>
      </c>
      <c r="S7" s="18" t="n">
        <v>0</v>
      </c>
      <c r="T7" s="20" t="n">
        <v>0</v>
      </c>
      <c r="U7" s="18" t="n">
        <v>0</v>
      </c>
      <c r="V7" s="20" t="n">
        <v>0</v>
      </c>
    </row>
    <row r="8" spans="1:22">
      <c r="A8" s="15" t="s">
        <v>350</v>
      </c>
      <c r="B8" s="17" t="n">
        <v>3443</v>
      </c>
      <c r="C8" s="18">
        <f>(3017.0/B8*100)</f>
        <v/>
      </c>
      <c r="D8" s="19" t="n">
        <v>426</v>
      </c>
      <c r="E8" s="18" t="n">
        <v>51.43711618</v>
      </c>
      <c r="F8" s="20" t="n">
        <v>2.81067463</v>
      </c>
      <c r="G8" s="18" t="n">
        <v>2.51830721</v>
      </c>
      <c r="H8" s="20" t="n">
        <v>0.66167177</v>
      </c>
      <c r="I8" s="18" t="n">
        <v>10.23268713</v>
      </c>
      <c r="J8" s="20" t="n">
        <v>1.81382362</v>
      </c>
      <c r="K8" s="18" t="n">
        <v>6.03766247</v>
      </c>
      <c r="L8" s="20" t="n">
        <v>1.16974414</v>
      </c>
      <c r="M8" s="18" t="s">
        <v>349</v>
      </c>
      <c r="N8" s="20" t="s">
        <v>349</v>
      </c>
      <c r="O8" s="18" t="n">
        <v>29.77422702</v>
      </c>
      <c r="P8" s="20" t="n">
        <v>2.62991979</v>
      </c>
      <c r="Q8" s="18" t="n">
        <v>0</v>
      </c>
      <c r="R8" s="20" t="n">
        <v>0</v>
      </c>
      <c r="S8" s="18" t="n">
        <v>0</v>
      </c>
      <c r="T8" s="20" t="n">
        <v>0</v>
      </c>
      <c r="U8" s="18" t="n">
        <v>0</v>
      </c>
      <c r="V8" s="20" t="n">
        <v>0</v>
      </c>
    </row>
    <row r="9" spans="1:22">
      <c r="A9" s="15" t="s">
        <v>351</v>
      </c>
      <c r="B9" s="17" t="n">
        <v>4752</v>
      </c>
      <c r="C9" s="18">
        <f>(4193.0/B9*100)</f>
        <v/>
      </c>
      <c r="D9" s="19" t="n">
        <v>559</v>
      </c>
      <c r="E9" s="18" t="n">
        <v>54.97813598</v>
      </c>
      <c r="F9" s="20" t="n">
        <v>2.1746553</v>
      </c>
      <c r="G9" s="18" t="n">
        <v>3.87415989</v>
      </c>
      <c r="H9" s="20" t="n">
        <v>0.76593262</v>
      </c>
      <c r="I9" s="18" t="n">
        <v>7.12280401</v>
      </c>
      <c r="J9" s="20" t="n">
        <v>1.01592032</v>
      </c>
      <c r="K9" s="18" t="n">
        <v>10.7216481</v>
      </c>
      <c r="L9" s="20" t="n">
        <v>1.37717845</v>
      </c>
      <c r="M9" s="18" t="s">
        <v>349</v>
      </c>
      <c r="N9" s="20" t="s">
        <v>349</v>
      </c>
      <c r="O9" s="18" t="n">
        <v>23.00074743</v>
      </c>
      <c r="P9" s="20" t="n">
        <v>1.6081413</v>
      </c>
      <c r="Q9" s="18" t="n">
        <v>0.30250459</v>
      </c>
      <c r="R9" s="20" t="n">
        <v>0.21241571</v>
      </c>
      <c r="S9" s="18" t="n">
        <v>0</v>
      </c>
      <c r="T9" s="20" t="n">
        <v>0</v>
      </c>
      <c r="U9" s="18" t="n">
        <v>0</v>
      </c>
      <c r="V9" s="20" t="n">
        <v>0</v>
      </c>
    </row>
    <row r="10" spans="1:22">
      <c r="A10" s="15" t="s">
        <v>352</v>
      </c>
      <c r="B10" s="17" t="n">
        <v>10022</v>
      </c>
      <c r="C10" s="18">
        <f>(8808.0/B10*100)</f>
        <v/>
      </c>
      <c r="D10" s="19" t="n">
        <v>1214</v>
      </c>
      <c r="E10" s="18" t="n">
        <v>55.87168779</v>
      </c>
      <c r="F10" s="20" t="n">
        <v>2.00292818</v>
      </c>
      <c r="G10" s="18" t="n">
        <v>4.50399615</v>
      </c>
      <c r="H10" s="20" t="n">
        <v>0.83028673</v>
      </c>
      <c r="I10" s="18" t="n">
        <v>10.62454347</v>
      </c>
      <c r="J10" s="20" t="n">
        <v>1.17337038</v>
      </c>
      <c r="K10" s="18" t="n">
        <v>12.4396996</v>
      </c>
      <c r="L10" s="20" t="n">
        <v>1.16120403</v>
      </c>
      <c r="M10" s="18" t="s">
        <v>349</v>
      </c>
      <c r="N10" s="20" t="s">
        <v>349</v>
      </c>
      <c r="O10" s="18" t="n">
        <v>16.16291988</v>
      </c>
      <c r="P10" s="20" t="n">
        <v>1.75707457</v>
      </c>
      <c r="Q10" s="18" t="n">
        <v>0.39715312</v>
      </c>
      <c r="R10" s="20" t="n">
        <v>0.22478485</v>
      </c>
      <c r="S10" s="18" t="n">
        <v>0</v>
      </c>
      <c r="T10" s="20" t="n">
        <v>0</v>
      </c>
      <c r="U10" s="18" t="n">
        <v>0</v>
      </c>
      <c r="V10" s="20" t="n">
        <v>0</v>
      </c>
    </row>
    <row r="11" spans="1:22">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row>
    <row r="12" spans="1:22">
      <c r="A12" s="15" t="s">
        <v>354</v>
      </c>
      <c r="B12" s="17" t="n">
        <v>3422</v>
      </c>
      <c r="C12" s="18">
        <f>(3017.0/B12*100)</f>
        <v/>
      </c>
      <c r="D12" s="19" t="n">
        <v>405</v>
      </c>
      <c r="E12" s="18" t="n">
        <v>50.67592763</v>
      </c>
      <c r="F12" s="20" t="n">
        <v>2.56714789</v>
      </c>
      <c r="G12" s="18" t="n">
        <v>0</v>
      </c>
      <c r="H12" s="20" t="n">
        <v>0</v>
      </c>
      <c r="I12" s="18" t="n">
        <v>6.39980319</v>
      </c>
      <c r="J12" s="20" t="n">
        <v>1.3228434</v>
      </c>
      <c r="K12" s="18" t="n">
        <v>5.21336224</v>
      </c>
      <c r="L12" s="20" t="n">
        <v>1.06812611</v>
      </c>
      <c r="M12" s="18" t="s">
        <v>349</v>
      </c>
      <c r="N12" s="20" t="s">
        <v>349</v>
      </c>
      <c r="O12" s="18" t="n">
        <v>37.71090694</v>
      </c>
      <c r="P12" s="20" t="n">
        <v>2.64609894</v>
      </c>
      <c r="Q12" s="18" t="n">
        <v>0</v>
      </c>
      <c r="R12" s="20" t="n">
        <v>0</v>
      </c>
      <c r="S12" s="18" t="n">
        <v>0</v>
      </c>
      <c r="T12" s="20" t="n">
        <v>0</v>
      </c>
      <c r="U12" s="18" t="n">
        <v>0</v>
      </c>
      <c r="V12" s="20" t="n">
        <v>0</v>
      </c>
    </row>
    <row r="13" spans="1:22">
      <c r="A13" s="15" t="s">
        <v>355</v>
      </c>
      <c r="B13" s="17" t="n">
        <v>3602</v>
      </c>
      <c r="C13" s="18">
        <f>(3189.0/B13*100)</f>
        <v/>
      </c>
      <c r="D13" s="19" t="n">
        <v>413</v>
      </c>
      <c r="E13" s="18" t="n">
        <v>54.54165137</v>
      </c>
      <c r="F13" s="20" t="n">
        <v>2.74628614</v>
      </c>
      <c r="G13" s="18" t="n">
        <v>3.89566211</v>
      </c>
      <c r="H13" s="20" t="n">
        <v>1.35871925</v>
      </c>
      <c r="I13" s="18" t="n">
        <v>6.47229312</v>
      </c>
      <c r="J13" s="20" t="n">
        <v>1.40583251</v>
      </c>
      <c r="K13" s="18" t="n">
        <v>12.69228147</v>
      </c>
      <c r="L13" s="20" t="n">
        <v>1.90550344</v>
      </c>
      <c r="M13" s="18" t="s">
        <v>349</v>
      </c>
      <c r="N13" s="20" t="s">
        <v>349</v>
      </c>
      <c r="O13" s="18" t="n">
        <v>22.30803707</v>
      </c>
      <c r="P13" s="20" t="n">
        <v>2.37827589</v>
      </c>
      <c r="Q13" s="18" t="n">
        <v>0.09007486000000001</v>
      </c>
      <c r="R13" s="20" t="n">
        <v>0.09214575999999999</v>
      </c>
      <c r="S13" s="18" t="n">
        <v>0</v>
      </c>
      <c r="T13" s="20" t="n">
        <v>0</v>
      </c>
      <c r="U13" s="18" t="n">
        <v>0</v>
      </c>
      <c r="V13" s="20" t="n">
        <v>0</v>
      </c>
    </row>
    <row r="14" spans="1:22">
      <c r="A14" s="15" t="s">
        <v>356</v>
      </c>
      <c r="B14" s="17" t="n">
        <v>2788</v>
      </c>
      <c r="C14" s="18">
        <f>(2460.0/B14*100)</f>
        <v/>
      </c>
      <c r="D14" s="19" t="n">
        <v>328</v>
      </c>
      <c r="E14" s="18" t="n">
        <v>59.12443413</v>
      </c>
      <c r="F14" s="20" t="n">
        <v>3.10304439</v>
      </c>
      <c r="G14" s="18" t="n">
        <v>0.29557567</v>
      </c>
      <c r="H14" s="20" t="n">
        <v>0.29461191</v>
      </c>
      <c r="I14" s="18" t="n">
        <v>10.17753177</v>
      </c>
      <c r="J14" s="20" t="n">
        <v>1.99434454</v>
      </c>
      <c r="K14" s="18" t="n">
        <v>8.699414559999999</v>
      </c>
      <c r="L14" s="20" t="n">
        <v>1.60515041</v>
      </c>
      <c r="M14" s="18" t="s">
        <v>349</v>
      </c>
      <c r="N14" s="20" t="s">
        <v>349</v>
      </c>
      <c r="O14" s="18" t="n">
        <v>21.70304387</v>
      </c>
      <c r="P14" s="20" t="n">
        <v>2.66868237</v>
      </c>
      <c r="Q14" s="18" t="n">
        <v>0</v>
      </c>
      <c r="R14" s="20" t="n">
        <v>0</v>
      </c>
      <c r="S14" s="18" t="n">
        <v>0</v>
      </c>
      <c r="T14" s="20" t="n">
        <v>0</v>
      </c>
      <c r="U14" s="18" t="n">
        <v>0</v>
      </c>
      <c r="V14" s="20" t="n">
        <v>0</v>
      </c>
    </row>
    <row r="15" spans="1:22">
      <c r="A15" s="15" t="s">
        <v>357</v>
      </c>
      <c r="B15" s="17" t="n">
        <v>2863</v>
      </c>
      <c r="C15" s="18">
        <f>(2524.0/B15*100)</f>
        <v/>
      </c>
      <c r="D15" s="19" t="n">
        <v>339</v>
      </c>
      <c r="E15" s="18" t="n">
        <v>52.23613202</v>
      </c>
      <c r="F15" s="20" t="n">
        <v>2.84395144</v>
      </c>
      <c r="G15" s="18" t="n">
        <v>4.46324167</v>
      </c>
      <c r="H15" s="20" t="n">
        <v>1.08777482</v>
      </c>
      <c r="I15" s="18" t="n">
        <v>3.50571529</v>
      </c>
      <c r="J15" s="20" t="n">
        <v>0.96536078</v>
      </c>
      <c r="K15" s="18" t="n">
        <v>11.66107731</v>
      </c>
      <c r="L15" s="20" t="n">
        <v>1.85258204</v>
      </c>
      <c r="M15" s="18" t="s">
        <v>349</v>
      </c>
      <c r="N15" s="20" t="s">
        <v>349</v>
      </c>
      <c r="O15" s="18" t="n">
        <v>28.13383371</v>
      </c>
      <c r="P15" s="20" t="n">
        <v>2.54752073</v>
      </c>
      <c r="Q15" s="18" t="n">
        <v>0</v>
      </c>
      <c r="R15" s="20" t="n">
        <v>0</v>
      </c>
      <c r="S15" s="18" t="n">
        <v>0</v>
      </c>
      <c r="T15" s="20" t="n">
        <v>0</v>
      </c>
      <c r="U15" s="18" t="n">
        <v>0</v>
      </c>
      <c r="V15" s="20" t="n">
        <v>0</v>
      </c>
    </row>
    <row r="16" spans="1:22">
      <c r="A16" s="15" t="s">
        <v>358</v>
      </c>
      <c r="B16" s="17" t="n">
        <v>3111</v>
      </c>
      <c r="C16" s="18">
        <f>(2747.0/B16*100)</f>
        <v/>
      </c>
      <c r="D16" s="19" t="n">
        <v>364</v>
      </c>
      <c r="E16" s="18" t="n">
        <v>46.35067223</v>
      </c>
      <c r="F16" s="20" t="n">
        <v>2.55596925</v>
      </c>
      <c r="G16" s="18" t="n">
        <v>0.27815814</v>
      </c>
      <c r="H16" s="20" t="n">
        <v>0.27278928</v>
      </c>
      <c r="I16" s="18" t="n">
        <v>4.69489062</v>
      </c>
      <c r="J16" s="20" t="n">
        <v>1.09678901</v>
      </c>
      <c r="K16" s="18" t="n">
        <v>11.92384809</v>
      </c>
      <c r="L16" s="20" t="n">
        <v>1.52313857</v>
      </c>
      <c r="M16" s="18" t="s">
        <v>349</v>
      </c>
      <c r="N16" s="20" t="s">
        <v>349</v>
      </c>
      <c r="O16" s="18" t="n">
        <v>36.75243092</v>
      </c>
      <c r="P16" s="20" t="n">
        <v>2.72444893</v>
      </c>
      <c r="Q16" s="18" t="n">
        <v>0</v>
      </c>
      <c r="R16" s="20" t="n">
        <v>0</v>
      </c>
      <c r="S16" s="18" t="n">
        <v>0</v>
      </c>
      <c r="T16" s="20" t="n">
        <v>0</v>
      </c>
      <c r="U16" s="18" t="n">
        <v>0</v>
      </c>
      <c r="V16" s="20" t="n">
        <v>0</v>
      </c>
    </row>
    <row r="17" spans="1:22">
      <c r="A17" s="15" t="s">
        <v>359</v>
      </c>
      <c r="B17" s="17" t="n">
        <v>3197</v>
      </c>
      <c r="C17" s="18">
        <f>(2800.0/B17*100)</f>
        <v/>
      </c>
      <c r="D17" s="19" t="n">
        <v>397</v>
      </c>
      <c r="E17" s="18" t="n">
        <v>48.53756888</v>
      </c>
      <c r="F17" s="20" t="n">
        <v>2.87269476</v>
      </c>
      <c r="G17" s="18" t="n">
        <v>0.25919008</v>
      </c>
      <c r="H17" s="20" t="n">
        <v>0.24682694</v>
      </c>
      <c r="I17" s="18" t="n">
        <v>5.73918308</v>
      </c>
      <c r="J17" s="20" t="n">
        <v>1.17804387</v>
      </c>
      <c r="K17" s="18" t="n">
        <v>12.34946783</v>
      </c>
      <c r="L17" s="20" t="n">
        <v>1.62560408</v>
      </c>
      <c r="M17" s="18" t="s">
        <v>349</v>
      </c>
      <c r="N17" s="20" t="s">
        <v>349</v>
      </c>
      <c r="O17" s="18" t="n">
        <v>33.11459013</v>
      </c>
      <c r="P17" s="20" t="n">
        <v>2.53598754</v>
      </c>
      <c r="Q17" s="18" t="n">
        <v>0</v>
      </c>
      <c r="R17" s="20" t="n">
        <v>0</v>
      </c>
      <c r="S17" s="18" t="n">
        <v>0</v>
      </c>
      <c r="T17" s="20" t="n">
        <v>0</v>
      </c>
      <c r="U17" s="18" t="n">
        <v>0</v>
      </c>
      <c r="V17" s="20" t="n">
        <v>0</v>
      </c>
    </row>
    <row r="18" spans="1:22">
      <c r="A18" s="15" t="s">
        <v>360</v>
      </c>
      <c r="B18" s="17" t="n">
        <v>2706</v>
      </c>
      <c r="C18" s="18">
        <f>(2398.0/B18*100)</f>
        <v/>
      </c>
      <c r="D18" s="19" t="n">
        <v>308</v>
      </c>
      <c r="E18" s="18" t="n">
        <v>63.19572394</v>
      </c>
      <c r="F18" s="20" t="n">
        <v>3.28232769</v>
      </c>
      <c r="G18" s="18" t="n">
        <v>0.70838497</v>
      </c>
      <c r="H18" s="20" t="n">
        <v>0.50352449</v>
      </c>
      <c r="I18" s="18" t="n">
        <v>4.32692826</v>
      </c>
      <c r="J18" s="20" t="n">
        <v>1.35526367</v>
      </c>
      <c r="K18" s="18" t="n">
        <v>6.43956013</v>
      </c>
      <c r="L18" s="20" t="n">
        <v>1.6089699</v>
      </c>
      <c r="M18" s="18" t="s">
        <v>349</v>
      </c>
      <c r="N18" s="20" t="s">
        <v>349</v>
      </c>
      <c r="O18" s="18" t="n">
        <v>24.94563849</v>
      </c>
      <c r="P18" s="20" t="n">
        <v>2.71228563</v>
      </c>
      <c r="Q18" s="18" t="n">
        <v>0.38376422</v>
      </c>
      <c r="R18" s="20" t="n">
        <v>0.30773769</v>
      </c>
      <c r="S18" s="18" t="n">
        <v>0</v>
      </c>
      <c r="T18" s="20" t="n">
        <v>0</v>
      </c>
      <c r="U18" s="18" t="n">
        <v>0</v>
      </c>
      <c r="V18" s="20" t="n">
        <v>0</v>
      </c>
    </row>
    <row r="19" spans="1:22">
      <c r="A19" s="15" t="s">
        <v>361</v>
      </c>
      <c r="B19" s="17" t="n">
        <v>2850</v>
      </c>
      <c r="C19" s="18">
        <f>(2517.0/B19*100)</f>
        <v/>
      </c>
      <c r="D19" s="19" t="n">
        <v>333</v>
      </c>
      <c r="E19" s="18" t="n">
        <v>63.02727637</v>
      </c>
      <c r="F19" s="20" t="n">
        <v>3.11845813</v>
      </c>
      <c r="G19" s="18" t="n">
        <v>0</v>
      </c>
      <c r="H19" s="20" t="n">
        <v>0</v>
      </c>
      <c r="I19" s="18" t="n">
        <v>3.52704801</v>
      </c>
      <c r="J19" s="20" t="n">
        <v>1.11796978</v>
      </c>
      <c r="K19" s="18" t="n">
        <v>6.33870414</v>
      </c>
      <c r="L19" s="20" t="n">
        <v>1.27196375</v>
      </c>
      <c r="M19" s="18" t="s">
        <v>349</v>
      </c>
      <c r="N19" s="20" t="s">
        <v>349</v>
      </c>
      <c r="O19" s="18" t="n">
        <v>27.10697149</v>
      </c>
      <c r="P19" s="20" t="n">
        <v>2.72686837</v>
      </c>
      <c r="Q19" s="18" t="n">
        <v>0</v>
      </c>
      <c r="R19" s="20" t="n">
        <v>0</v>
      </c>
      <c r="S19" s="18" t="n">
        <v>0</v>
      </c>
      <c r="T19" s="20" t="n">
        <v>0</v>
      </c>
      <c r="U19" s="18" t="n">
        <v>0</v>
      </c>
      <c r="V19" s="20" t="n">
        <v>0</v>
      </c>
    </row>
    <row r="20" spans="1:22">
      <c r="A20" s="15" t="s">
        <v>362</v>
      </c>
      <c r="B20" s="17" t="n">
        <v>1741</v>
      </c>
      <c r="C20" s="18">
        <f>(1531.0/B20*100)</f>
        <v/>
      </c>
      <c r="D20" s="19" t="n">
        <v>210</v>
      </c>
      <c r="E20" s="18" t="n">
        <v>61.71665265</v>
      </c>
      <c r="F20" s="20" t="n">
        <v>3.17878635</v>
      </c>
      <c r="G20" s="18" t="n">
        <v>3.59112332</v>
      </c>
      <c r="H20" s="20" t="n">
        <v>1.34364711</v>
      </c>
      <c r="I20" s="18" t="n">
        <v>7.23772571</v>
      </c>
      <c r="J20" s="20" t="n">
        <v>1.88749634</v>
      </c>
      <c r="K20" s="18" t="n">
        <v>5.42258009</v>
      </c>
      <c r="L20" s="20" t="n">
        <v>1.3465152</v>
      </c>
      <c r="M20" s="18" t="s">
        <v>349</v>
      </c>
      <c r="N20" s="20" t="s">
        <v>349</v>
      </c>
      <c r="O20" s="18" t="n">
        <v>22.03191824</v>
      </c>
      <c r="P20" s="20" t="n">
        <v>2.95758729</v>
      </c>
      <c r="Q20" s="18" t="n">
        <v>0</v>
      </c>
      <c r="R20" s="20" t="n">
        <v>0</v>
      </c>
      <c r="S20" s="18" t="n">
        <v>0</v>
      </c>
      <c r="T20" s="20" t="n">
        <v>0</v>
      </c>
      <c r="U20" s="18" t="n">
        <v>0</v>
      </c>
      <c r="V20" s="20" t="n">
        <v>0</v>
      </c>
    </row>
    <row r="21" spans="1:22">
      <c r="A21" s="15" t="s">
        <v>363</v>
      </c>
      <c r="B21" s="17" t="n">
        <v>2833</v>
      </c>
      <c r="C21" s="18">
        <f>(2380.0/B21*100)</f>
        <v/>
      </c>
      <c r="D21" s="19" t="n">
        <v>453</v>
      </c>
      <c r="E21" s="18" t="n">
        <v>60.97938866</v>
      </c>
      <c r="F21" s="20" t="n">
        <v>2.65904881</v>
      </c>
      <c r="G21" s="18" t="n">
        <v>3.97013478</v>
      </c>
      <c r="H21" s="20" t="n">
        <v>0.94539161</v>
      </c>
      <c r="I21" s="18" t="n">
        <v>6.03946844</v>
      </c>
      <c r="J21" s="20" t="n">
        <v>0.98529712</v>
      </c>
      <c r="K21" s="18" t="n">
        <v>15.54303686</v>
      </c>
      <c r="L21" s="20" t="n">
        <v>1.96974214</v>
      </c>
      <c r="M21" s="18" t="s">
        <v>349</v>
      </c>
      <c r="N21" s="20" t="s">
        <v>349</v>
      </c>
      <c r="O21" s="18" t="n">
        <v>13.46797126</v>
      </c>
      <c r="P21" s="20" t="n">
        <v>1.68979922</v>
      </c>
      <c r="Q21" s="18" t="n">
        <v>0</v>
      </c>
      <c r="R21" s="20" t="n">
        <v>0</v>
      </c>
      <c r="S21" s="18" t="n">
        <v>0</v>
      </c>
      <c r="T21" s="20" t="n">
        <v>0</v>
      </c>
      <c r="U21" s="18" t="n">
        <v>0</v>
      </c>
      <c r="V21" s="20" t="n">
        <v>0</v>
      </c>
    </row>
    <row r="22" spans="1:22">
      <c r="A22" s="15" t="s">
        <v>364</v>
      </c>
      <c r="B22" s="17" t="n">
        <v>3667</v>
      </c>
      <c r="C22" s="18">
        <f>(3206.0/B22*100)</f>
        <v/>
      </c>
      <c r="D22" s="19" t="n">
        <v>461</v>
      </c>
      <c r="E22" s="18" t="n">
        <v>54.31505648</v>
      </c>
      <c r="F22" s="20" t="n">
        <v>2.30948677</v>
      </c>
      <c r="G22" s="18" t="n">
        <v>0.65396973</v>
      </c>
      <c r="H22" s="20" t="n">
        <v>0.38951339</v>
      </c>
      <c r="I22" s="18" t="n">
        <v>5.06011102</v>
      </c>
      <c r="J22" s="20" t="n">
        <v>0.95668761</v>
      </c>
      <c r="K22" s="18" t="n">
        <v>7.23882359</v>
      </c>
      <c r="L22" s="20" t="n">
        <v>1.39814156</v>
      </c>
      <c r="M22" s="18" t="s">
        <v>349</v>
      </c>
      <c r="N22" s="20" t="s">
        <v>349</v>
      </c>
      <c r="O22" s="18" t="n">
        <v>32.73203918</v>
      </c>
      <c r="P22" s="20" t="n">
        <v>2.38812923</v>
      </c>
      <c r="Q22" s="18" t="n">
        <v>0</v>
      </c>
      <c r="R22" s="20" t="n">
        <v>0</v>
      </c>
      <c r="S22" s="18" t="n">
        <v>0</v>
      </c>
      <c r="T22" s="20" t="n">
        <v>0</v>
      </c>
      <c r="U22" s="18" t="n">
        <v>0</v>
      </c>
      <c r="V22" s="20" t="n">
        <v>0</v>
      </c>
    </row>
    <row r="23" spans="1:22">
      <c r="A23" s="15" t="s">
        <v>365</v>
      </c>
      <c r="B23" s="17" t="n">
        <v>5792</v>
      </c>
      <c r="C23" s="18">
        <f>(5094.0/B23*100)</f>
        <v/>
      </c>
      <c r="D23" s="19" t="n">
        <v>698</v>
      </c>
      <c r="E23" s="18" t="n">
        <v>50.56721614</v>
      </c>
      <c r="F23" s="20" t="n">
        <v>2.69696302</v>
      </c>
      <c r="G23" s="18" t="n">
        <v>1.52805469</v>
      </c>
      <c r="H23" s="20" t="n">
        <v>0.5837134</v>
      </c>
      <c r="I23" s="18" t="n">
        <v>3.57981552</v>
      </c>
      <c r="J23" s="20" t="n">
        <v>1.02193846</v>
      </c>
      <c r="K23" s="18" t="n">
        <v>3.70133619</v>
      </c>
      <c r="L23" s="20" t="n">
        <v>0.95064344</v>
      </c>
      <c r="M23" s="18" t="s">
        <v>349</v>
      </c>
      <c r="N23" s="20" t="s">
        <v>349</v>
      </c>
      <c r="O23" s="18" t="n">
        <v>40.35578503</v>
      </c>
      <c r="P23" s="20" t="n">
        <v>2.78775204</v>
      </c>
      <c r="Q23" s="18" t="n">
        <v>0.26779244</v>
      </c>
      <c r="R23" s="20" t="n">
        <v>0.24494214</v>
      </c>
      <c r="S23" s="18" t="n">
        <v>0</v>
      </c>
      <c r="T23" s="20" t="n">
        <v>0</v>
      </c>
      <c r="U23" s="18" t="n">
        <v>0</v>
      </c>
      <c r="V23" s="20" t="n">
        <v>0</v>
      </c>
    </row>
    <row r="24" spans="1:22">
      <c r="A24" s="15" t="s">
        <v>366</v>
      </c>
      <c r="B24" s="17" t="n">
        <v>3309</v>
      </c>
      <c r="C24" s="18">
        <f>(2942.0/B24*100)</f>
        <v/>
      </c>
      <c r="D24" s="19" t="n">
        <v>367</v>
      </c>
      <c r="E24" s="18" t="n">
        <v>44.41675903</v>
      </c>
      <c r="F24" s="20" t="n">
        <v>2.56519637</v>
      </c>
      <c r="G24" s="18" t="n">
        <v>1.67959286</v>
      </c>
      <c r="H24" s="20" t="n">
        <v>0.82634771</v>
      </c>
      <c r="I24" s="18" t="n">
        <v>5.28331101</v>
      </c>
      <c r="J24" s="20" t="n">
        <v>1.07438545</v>
      </c>
      <c r="K24" s="18" t="n">
        <v>11.93433416</v>
      </c>
      <c r="L24" s="20" t="n">
        <v>1.88567809</v>
      </c>
      <c r="M24" s="18" t="s">
        <v>349</v>
      </c>
      <c r="N24" s="20" t="s">
        <v>349</v>
      </c>
      <c r="O24" s="18" t="n">
        <v>36.68600294</v>
      </c>
      <c r="P24" s="20" t="n">
        <v>2.81781236</v>
      </c>
      <c r="Q24" s="18" t="n">
        <v>0</v>
      </c>
      <c r="R24" s="20" t="n">
        <v>0</v>
      </c>
      <c r="S24" s="18" t="n">
        <v>0</v>
      </c>
      <c r="T24" s="20" t="n">
        <v>0</v>
      </c>
      <c r="U24" s="18" t="n">
        <v>0</v>
      </c>
      <c r="V24" s="20" t="n">
        <v>0</v>
      </c>
    </row>
    <row r="25" spans="1:22">
      <c r="A25" s="15" t="s">
        <v>367</v>
      </c>
      <c r="B25" s="17" t="n">
        <v>2669</v>
      </c>
      <c r="C25" s="18">
        <f>(2361.0/B25*100)</f>
        <v/>
      </c>
      <c r="D25" s="19" t="n">
        <v>308</v>
      </c>
      <c r="E25" s="18" t="n">
        <v>50.01697296</v>
      </c>
      <c r="F25" s="20" t="n">
        <v>2.74299372</v>
      </c>
      <c r="G25" s="18" t="n">
        <v>6.73036184</v>
      </c>
      <c r="H25" s="20" t="n">
        <v>1.58485044</v>
      </c>
      <c r="I25" s="18" t="n">
        <v>5.42569557</v>
      </c>
      <c r="J25" s="20" t="n">
        <v>1.23147704</v>
      </c>
      <c r="K25" s="18" t="n">
        <v>18.03678681</v>
      </c>
      <c r="L25" s="20" t="n">
        <v>2.14631705</v>
      </c>
      <c r="M25" s="18" t="s">
        <v>349</v>
      </c>
      <c r="N25" s="20" t="s">
        <v>349</v>
      </c>
      <c r="O25" s="18" t="n">
        <v>19.79018283</v>
      </c>
      <c r="P25" s="20" t="n">
        <v>2.18871841</v>
      </c>
      <c r="Q25" s="18" t="n">
        <v>0</v>
      </c>
      <c r="R25" s="20" t="n">
        <v>0</v>
      </c>
      <c r="S25" s="18" t="n">
        <v>0</v>
      </c>
      <c r="T25" s="20" t="n">
        <v>0</v>
      </c>
      <c r="U25" s="18" t="n">
        <v>0</v>
      </c>
      <c r="V25" s="20" t="n">
        <v>0</v>
      </c>
    </row>
    <row r="26" spans="1:22">
      <c r="A26" s="15" t="s">
        <v>368</v>
      </c>
      <c r="B26" s="17" t="n">
        <v>2419</v>
      </c>
      <c r="C26" s="18">
        <f>(2109.0/B26*100)</f>
        <v/>
      </c>
      <c r="D26" s="19" t="n">
        <v>310</v>
      </c>
      <c r="E26" s="18" t="n">
        <v>76.6080422</v>
      </c>
      <c r="F26" s="20" t="n">
        <v>2.36890138</v>
      </c>
      <c r="G26" s="18" t="n">
        <v>0.71832308</v>
      </c>
      <c r="H26" s="20" t="n">
        <v>0.54178606</v>
      </c>
      <c r="I26" s="18" t="n">
        <v>1.94714633</v>
      </c>
      <c r="J26" s="20" t="n">
        <v>0.7080353</v>
      </c>
      <c r="K26" s="18" t="n">
        <v>4.6217333</v>
      </c>
      <c r="L26" s="20" t="n">
        <v>1.40448028</v>
      </c>
      <c r="M26" s="18" t="s">
        <v>349</v>
      </c>
      <c r="N26" s="20" t="s">
        <v>349</v>
      </c>
      <c r="O26" s="18" t="n">
        <v>15.54189968</v>
      </c>
      <c r="P26" s="20" t="n">
        <v>1.96746524</v>
      </c>
      <c r="Q26" s="18" t="n">
        <v>0.56285542</v>
      </c>
      <c r="R26" s="20" t="n">
        <v>0.39318886</v>
      </c>
      <c r="S26" s="18" t="n">
        <v>0</v>
      </c>
      <c r="T26" s="20" t="n">
        <v>0</v>
      </c>
      <c r="U26" s="18" t="n">
        <v>0</v>
      </c>
      <c r="V26" s="20" t="n">
        <v>0</v>
      </c>
    </row>
    <row r="27" spans="1:22">
      <c r="A27" s="15" t="s">
        <v>369</v>
      </c>
      <c r="B27" s="17" t="n">
        <v>2683</v>
      </c>
      <c r="C27" s="18">
        <f>(2367.0/B27*100)</f>
        <v/>
      </c>
      <c r="D27" s="19" t="n">
        <v>316</v>
      </c>
      <c r="E27" s="18" t="n">
        <v>56.65928766</v>
      </c>
      <c r="F27" s="20" t="n">
        <v>2.7012175</v>
      </c>
      <c r="G27" s="18" t="n">
        <v>0.97484084</v>
      </c>
      <c r="H27" s="20" t="n">
        <v>0.55644267</v>
      </c>
      <c r="I27" s="18" t="n">
        <v>6.28788033</v>
      </c>
      <c r="J27" s="20" t="n">
        <v>1.35608803</v>
      </c>
      <c r="K27" s="18" t="n">
        <v>6.57967459</v>
      </c>
      <c r="L27" s="20" t="n">
        <v>1.44493652</v>
      </c>
      <c r="M27" s="18" t="s">
        <v>349</v>
      </c>
      <c r="N27" s="20" t="s">
        <v>349</v>
      </c>
      <c r="O27" s="18" t="n">
        <v>29.49831658</v>
      </c>
      <c r="P27" s="20" t="n">
        <v>2.70731155</v>
      </c>
      <c r="Q27" s="18" t="n">
        <v>0</v>
      </c>
      <c r="R27" s="20" t="n">
        <v>0</v>
      </c>
      <c r="S27" s="18" t="n">
        <v>0</v>
      </c>
      <c r="T27" s="20" t="n">
        <v>0</v>
      </c>
      <c r="U27" s="18" t="n">
        <v>0</v>
      </c>
      <c r="V27" s="20" t="n">
        <v>0</v>
      </c>
    </row>
    <row r="28" spans="1:22">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row>
    <row r="29" spans="1:22">
      <c r="A29" s="15" t="s">
        <v>371</v>
      </c>
      <c r="B29" s="17" t="n">
        <v>2700</v>
      </c>
      <c r="C29" s="18">
        <f>(2375.0/B29*100)</f>
        <v/>
      </c>
      <c r="D29" s="19" t="n">
        <v>325</v>
      </c>
      <c r="E29" s="18" t="n">
        <v>57.02889056</v>
      </c>
      <c r="F29" s="20" t="n">
        <v>2.54703057</v>
      </c>
      <c r="G29" s="18" t="n">
        <v>4.7387081</v>
      </c>
      <c r="H29" s="20" t="n">
        <v>1.14635069</v>
      </c>
      <c r="I29" s="18" t="n">
        <v>5.45890356</v>
      </c>
      <c r="J29" s="20" t="n">
        <v>1.31511929</v>
      </c>
      <c r="K29" s="18" t="n">
        <v>16.63175704</v>
      </c>
      <c r="L29" s="20" t="n">
        <v>2.14589243</v>
      </c>
      <c r="M29" s="18" t="s">
        <v>349</v>
      </c>
      <c r="N29" s="20" t="s">
        <v>349</v>
      </c>
      <c r="O29" s="18" t="n">
        <v>16.14174075</v>
      </c>
      <c r="P29" s="20" t="n">
        <v>2.33725583</v>
      </c>
      <c r="Q29" s="18" t="n">
        <v>0</v>
      </c>
      <c r="R29" s="20" t="n">
        <v>0</v>
      </c>
      <c r="S29" s="18" t="n">
        <v>0</v>
      </c>
      <c r="T29" s="20" t="n">
        <v>0</v>
      </c>
      <c r="U29" s="18" t="n">
        <v>0</v>
      </c>
      <c r="V29" s="20" t="n">
        <v>0</v>
      </c>
    </row>
    <row r="30" spans="1:22">
      <c r="A30" s="15" t="s">
        <v>372</v>
      </c>
      <c r="B30" s="17" t="n">
        <v>2257</v>
      </c>
      <c r="C30" s="18">
        <f>(1985.0/B30*100)</f>
        <v/>
      </c>
      <c r="D30" s="19" t="n">
        <v>272</v>
      </c>
      <c r="E30" s="18" t="n">
        <v>54.09936791</v>
      </c>
      <c r="F30" s="20" t="n">
        <v>2.73415538</v>
      </c>
      <c r="G30" s="18" t="n">
        <v>2.79413393</v>
      </c>
      <c r="H30" s="20" t="n">
        <v>1.00064077</v>
      </c>
      <c r="I30" s="18" t="n">
        <v>5.40918947</v>
      </c>
      <c r="J30" s="20" t="n">
        <v>1.35864798</v>
      </c>
      <c r="K30" s="18" t="n">
        <v>12.29564138</v>
      </c>
      <c r="L30" s="20" t="n">
        <v>2.33439578</v>
      </c>
      <c r="M30" s="18" t="s">
        <v>349</v>
      </c>
      <c r="N30" s="20" t="s">
        <v>349</v>
      </c>
      <c r="O30" s="18" t="n">
        <v>25.4016673</v>
      </c>
      <c r="P30" s="20" t="n">
        <v>2.5739579</v>
      </c>
      <c r="Q30" s="18" t="n">
        <v>0</v>
      </c>
      <c r="R30" s="20" t="n">
        <v>0</v>
      </c>
      <c r="S30" s="18" t="n">
        <v>0</v>
      </c>
      <c r="T30" s="20" t="n">
        <v>0</v>
      </c>
      <c r="U30" s="18" t="n">
        <v>0</v>
      </c>
      <c r="V30" s="20" t="n">
        <v>0</v>
      </c>
    </row>
    <row r="31" spans="1:22">
      <c r="A31" s="15" t="s">
        <v>373</v>
      </c>
      <c r="B31" s="17" t="n">
        <v>2706</v>
      </c>
      <c r="C31" s="18">
        <f>(2371.0/B31*100)</f>
        <v/>
      </c>
      <c r="D31" s="19" t="n">
        <v>335</v>
      </c>
      <c r="E31" s="18" t="n">
        <v>46.90682916</v>
      </c>
      <c r="F31" s="20" t="n">
        <v>2.89939453</v>
      </c>
      <c r="G31" s="18" t="n">
        <v>3.76190124</v>
      </c>
      <c r="H31" s="20" t="n">
        <v>1.06494072</v>
      </c>
      <c r="I31" s="18" t="n">
        <v>4.44834828</v>
      </c>
      <c r="J31" s="20" t="n">
        <v>1.16593559</v>
      </c>
      <c r="K31" s="18" t="n">
        <v>8.66394974</v>
      </c>
      <c r="L31" s="20" t="n">
        <v>1.7061572</v>
      </c>
      <c r="M31" s="18" t="s">
        <v>349</v>
      </c>
      <c r="N31" s="20" t="s">
        <v>349</v>
      </c>
      <c r="O31" s="18" t="n">
        <v>36.21897159</v>
      </c>
      <c r="P31" s="20" t="n">
        <v>2.843795</v>
      </c>
      <c r="Q31" s="18" t="n">
        <v>0</v>
      </c>
      <c r="R31" s="20" t="n">
        <v>0</v>
      </c>
      <c r="S31" s="18" t="n">
        <v>0</v>
      </c>
      <c r="T31" s="20" t="n">
        <v>0</v>
      </c>
      <c r="U31" s="18" t="n">
        <v>0</v>
      </c>
      <c r="V31" s="20" t="n">
        <v>0</v>
      </c>
    </row>
    <row r="32" spans="1:22">
      <c r="A32" s="15" t="s">
        <v>374</v>
      </c>
      <c r="B32" s="17" t="n">
        <v>2209</v>
      </c>
      <c r="C32" s="18">
        <f>(1837.0/B32*100)</f>
        <v/>
      </c>
      <c r="D32" s="19" t="n">
        <v>372</v>
      </c>
      <c r="E32" s="18" t="n">
        <v>56.43405978</v>
      </c>
      <c r="F32" s="20" t="n">
        <v>2.72295724</v>
      </c>
      <c r="G32" s="18" t="n">
        <v>2.26713449</v>
      </c>
      <c r="H32" s="20" t="n">
        <v>0.66214801</v>
      </c>
      <c r="I32" s="18" t="n">
        <v>4.47392506</v>
      </c>
      <c r="J32" s="20" t="n">
        <v>1.06494199</v>
      </c>
      <c r="K32" s="18" t="n">
        <v>7.78716149</v>
      </c>
      <c r="L32" s="20" t="n">
        <v>1.51148117</v>
      </c>
      <c r="M32" s="18" t="s">
        <v>349</v>
      </c>
      <c r="N32" s="20" t="s">
        <v>349</v>
      </c>
      <c r="O32" s="18" t="n">
        <v>29.03771918</v>
      </c>
      <c r="P32" s="20" t="n">
        <v>2.61844057</v>
      </c>
      <c r="Q32" s="18" t="n">
        <v>0</v>
      </c>
      <c r="R32" s="20" t="n">
        <v>0</v>
      </c>
      <c r="S32" s="18" t="n">
        <v>0</v>
      </c>
      <c r="T32" s="20" t="n">
        <v>0</v>
      </c>
      <c r="U32" s="18" t="n">
        <v>0</v>
      </c>
      <c r="V32" s="20" t="n">
        <v>0</v>
      </c>
    </row>
    <row r="33" spans="1:22">
      <c r="A33" s="15" t="s">
        <v>375</v>
      </c>
      <c r="B33" s="17" t="n">
        <v>3651</v>
      </c>
      <c r="C33" s="18">
        <f>(3233.0/B33*100)</f>
        <v/>
      </c>
      <c r="D33" s="19" t="n">
        <v>418</v>
      </c>
      <c r="E33" s="18" t="n">
        <v>57.39655974</v>
      </c>
      <c r="F33" s="20" t="n">
        <v>2.80869635</v>
      </c>
      <c r="G33" s="18" t="n">
        <v>1.07995608</v>
      </c>
      <c r="H33" s="20" t="n">
        <v>0.66138613</v>
      </c>
      <c r="I33" s="18" t="n">
        <v>9.110283969999999</v>
      </c>
      <c r="J33" s="20" t="n">
        <v>1.65867888</v>
      </c>
      <c r="K33" s="18" t="n">
        <v>7.16505062</v>
      </c>
      <c r="L33" s="20" t="n">
        <v>1.44638269</v>
      </c>
      <c r="M33" s="18" t="s">
        <v>349</v>
      </c>
      <c r="N33" s="20" t="s">
        <v>349</v>
      </c>
      <c r="O33" s="18" t="n">
        <v>24.89454522</v>
      </c>
      <c r="P33" s="20" t="n">
        <v>2.30545205</v>
      </c>
      <c r="Q33" s="18" t="n">
        <v>0.35360437</v>
      </c>
      <c r="R33" s="20" t="n">
        <v>0.37023801</v>
      </c>
      <c r="S33" s="18" t="n">
        <v>0</v>
      </c>
      <c r="T33" s="20" t="n">
        <v>0</v>
      </c>
      <c r="U33" s="18" t="n">
        <v>0</v>
      </c>
      <c r="V33" s="20" t="n">
        <v>0</v>
      </c>
    </row>
    <row r="34" spans="1:22">
      <c r="A34" s="15" t="s">
        <v>376</v>
      </c>
      <c r="B34" s="17" t="n">
        <v>3035</v>
      </c>
      <c r="C34" s="18">
        <f>(2655.0/B34*100)</f>
        <v/>
      </c>
      <c r="D34" s="19" t="n">
        <v>380</v>
      </c>
      <c r="E34" s="18" t="n">
        <v>68.69664708000001</v>
      </c>
      <c r="F34" s="20" t="n">
        <v>2.49705062</v>
      </c>
      <c r="G34" s="18" t="n">
        <v>0</v>
      </c>
      <c r="H34" s="20" t="n">
        <v>0</v>
      </c>
      <c r="I34" s="18" t="n">
        <v>5.16266622</v>
      </c>
      <c r="J34" s="20" t="n">
        <v>1.27309142</v>
      </c>
      <c r="K34" s="18" t="n">
        <v>2.66700944</v>
      </c>
      <c r="L34" s="20" t="n">
        <v>0.78000462</v>
      </c>
      <c r="M34" s="18" t="s">
        <v>349</v>
      </c>
      <c r="N34" s="20" t="s">
        <v>349</v>
      </c>
      <c r="O34" s="18" t="n">
        <v>23.47367726</v>
      </c>
      <c r="P34" s="20" t="n">
        <v>2.321908</v>
      </c>
      <c r="Q34" s="18" t="n">
        <v>0</v>
      </c>
      <c r="R34" s="20" t="n">
        <v>0</v>
      </c>
      <c r="S34" s="18" t="n">
        <v>0</v>
      </c>
      <c r="T34" s="20" t="n">
        <v>0</v>
      </c>
      <c r="U34" s="18" t="n">
        <v>0</v>
      </c>
      <c r="V34" s="20" t="n">
        <v>0</v>
      </c>
    </row>
    <row r="35" spans="1:22">
      <c r="A35" s="15" t="s">
        <v>377</v>
      </c>
      <c r="B35" s="17" t="n">
        <v>2901</v>
      </c>
      <c r="C35" s="18">
        <f>(2536.0/B35*100)</f>
        <v/>
      </c>
      <c r="D35" s="19" t="n">
        <v>365</v>
      </c>
      <c r="E35" s="18" t="n">
        <v>53.47794533</v>
      </c>
      <c r="F35" s="20" t="n">
        <v>3.88042678</v>
      </c>
      <c r="G35" s="18" t="n">
        <v>3.16187635</v>
      </c>
      <c r="H35" s="20" t="n">
        <v>1.26671424</v>
      </c>
      <c r="I35" s="18" t="n">
        <v>4.69240609</v>
      </c>
      <c r="J35" s="20" t="n">
        <v>1.41835481</v>
      </c>
      <c r="K35" s="18" t="n">
        <v>9.096562970000001</v>
      </c>
      <c r="L35" s="20" t="n">
        <v>2.09797989</v>
      </c>
      <c r="M35" s="18" t="s">
        <v>349</v>
      </c>
      <c r="N35" s="20" t="s">
        <v>349</v>
      </c>
      <c r="O35" s="18" t="n">
        <v>29.57120926</v>
      </c>
      <c r="P35" s="20" t="n">
        <v>3.45363118</v>
      </c>
      <c r="Q35" s="18" t="n">
        <v>0</v>
      </c>
      <c r="R35" s="20" t="n">
        <v>0</v>
      </c>
      <c r="S35" s="18" t="n">
        <v>0</v>
      </c>
      <c r="T35" s="20" t="n">
        <v>0</v>
      </c>
      <c r="U35" s="18" t="n">
        <v>0</v>
      </c>
      <c r="V35" s="20" t="n">
        <v>0</v>
      </c>
    </row>
    <row r="36" spans="1:22">
      <c r="A36" s="15" t="s">
        <v>378</v>
      </c>
      <c r="B36" s="17" t="n">
        <v>3404</v>
      </c>
      <c r="C36" s="18">
        <f>(3010.0/B36*100)</f>
        <v/>
      </c>
      <c r="D36" s="19" t="n">
        <v>394</v>
      </c>
      <c r="E36" s="18" t="n">
        <v>56.36113332</v>
      </c>
      <c r="F36" s="20" t="n">
        <v>2.73919769</v>
      </c>
      <c r="G36" s="18" t="n">
        <v>1.6194919</v>
      </c>
      <c r="H36" s="20" t="n">
        <v>0.60249715</v>
      </c>
      <c r="I36" s="18" t="n">
        <v>7.87211519</v>
      </c>
      <c r="J36" s="20" t="n">
        <v>1.4853432</v>
      </c>
      <c r="K36" s="18" t="n">
        <v>6.77728185</v>
      </c>
      <c r="L36" s="20" t="n">
        <v>1.29249276</v>
      </c>
      <c r="M36" s="18" t="s">
        <v>349</v>
      </c>
      <c r="N36" s="20" t="s">
        <v>349</v>
      </c>
      <c r="O36" s="18" t="n">
        <v>27.36997774</v>
      </c>
      <c r="P36" s="20" t="n">
        <v>2.66017792</v>
      </c>
      <c r="Q36" s="18" t="n">
        <v>0</v>
      </c>
      <c r="R36" s="20" t="n">
        <v>0</v>
      </c>
      <c r="S36" s="18" t="n">
        <v>0</v>
      </c>
      <c r="T36" s="20" t="n">
        <v>0</v>
      </c>
      <c r="U36" s="18" t="n">
        <v>0</v>
      </c>
      <c r="V36" s="20" t="n">
        <v>0</v>
      </c>
    </row>
    <row r="37" spans="1:22">
      <c r="A37" s="15" t="s">
        <v>379</v>
      </c>
      <c r="B37" s="17" t="n">
        <v>2731</v>
      </c>
      <c r="C37" s="18">
        <f>(2420.0/B37*100)</f>
        <v/>
      </c>
      <c r="D37" s="19" t="n">
        <v>311</v>
      </c>
      <c r="E37" s="18" t="n">
        <v>46.30121873</v>
      </c>
      <c r="F37" s="20" t="n">
        <v>3.3000696</v>
      </c>
      <c r="G37" s="18" t="n">
        <v>0</v>
      </c>
      <c r="H37" s="20" t="n">
        <v>0</v>
      </c>
      <c r="I37" s="18" t="n">
        <v>5.68113969</v>
      </c>
      <c r="J37" s="20" t="n">
        <v>1.83394245</v>
      </c>
      <c r="K37" s="18" t="n">
        <v>8.061755209999999</v>
      </c>
      <c r="L37" s="20" t="n">
        <v>1.6746522</v>
      </c>
      <c r="M37" s="18" t="s">
        <v>349</v>
      </c>
      <c r="N37" s="20" t="s">
        <v>349</v>
      </c>
      <c r="O37" s="18" t="n">
        <v>39.95588636</v>
      </c>
      <c r="P37" s="20" t="n">
        <v>3.16929561</v>
      </c>
      <c r="Q37" s="18" t="n">
        <v>0</v>
      </c>
      <c r="R37" s="20" t="n">
        <v>0</v>
      </c>
      <c r="S37" s="18" t="n">
        <v>0</v>
      </c>
      <c r="T37" s="20" t="n">
        <v>0</v>
      </c>
      <c r="U37" s="18" t="n">
        <v>0</v>
      </c>
      <c r="V37" s="20" t="n">
        <v>0</v>
      </c>
    </row>
    <row r="38" spans="1:22">
      <c r="A38" s="15" t="s">
        <v>380</v>
      </c>
      <c r="B38" s="17" t="n">
        <v>2807</v>
      </c>
      <c r="C38" s="18">
        <f>(2367.0/B38*100)</f>
        <v/>
      </c>
      <c r="D38" s="19" t="n">
        <v>440</v>
      </c>
      <c r="E38" s="18" t="n">
        <v>51.53001905</v>
      </c>
      <c r="F38" s="20" t="n">
        <v>3.10124892</v>
      </c>
      <c r="G38" s="18" t="n">
        <v>1.8990239</v>
      </c>
      <c r="H38" s="20" t="n">
        <v>0.6880673</v>
      </c>
      <c r="I38" s="18" t="n">
        <v>8.07707591</v>
      </c>
      <c r="J38" s="20" t="n">
        <v>1.49219671</v>
      </c>
      <c r="K38" s="18" t="n">
        <v>12.28053494</v>
      </c>
      <c r="L38" s="20" t="n">
        <v>1.78476514</v>
      </c>
      <c r="M38" s="18" t="s">
        <v>349</v>
      </c>
      <c r="N38" s="20" t="s">
        <v>349</v>
      </c>
      <c r="O38" s="18" t="n">
        <v>26.21334621</v>
      </c>
      <c r="P38" s="20" t="n">
        <v>2.45711987</v>
      </c>
      <c r="Q38" s="18" t="n">
        <v>0</v>
      </c>
      <c r="R38" s="20" t="n">
        <v>0</v>
      </c>
      <c r="S38" s="18" t="n">
        <v>0</v>
      </c>
      <c r="T38" s="20" t="n">
        <v>0</v>
      </c>
      <c r="U38" s="18" t="n">
        <v>0</v>
      </c>
      <c r="V38" s="20" t="n">
        <v>0</v>
      </c>
    </row>
    <row r="39" spans="1:22">
      <c r="A39" s="15" t="s">
        <v>381</v>
      </c>
      <c r="B39" s="17" t="n">
        <v>2938</v>
      </c>
      <c r="C39" s="18">
        <f>(2567.0/B39*100)</f>
        <v/>
      </c>
      <c r="D39" s="19" t="n">
        <v>371</v>
      </c>
      <c r="E39" s="18" t="n">
        <v>74.918363</v>
      </c>
      <c r="F39" s="20" t="n">
        <v>2.42029028</v>
      </c>
      <c r="G39" s="18" t="n">
        <v>0.55963328</v>
      </c>
      <c r="H39" s="20" t="n">
        <v>0.39881407</v>
      </c>
      <c r="I39" s="18" t="n">
        <v>0.98011877</v>
      </c>
      <c r="J39" s="20" t="n">
        <v>0.56889572</v>
      </c>
      <c r="K39" s="18" t="n">
        <v>1.17418716</v>
      </c>
      <c r="L39" s="20" t="n">
        <v>0.6086127</v>
      </c>
      <c r="M39" s="18" t="s">
        <v>349</v>
      </c>
      <c r="N39" s="20" t="s">
        <v>349</v>
      </c>
      <c r="O39" s="18" t="n">
        <v>22.36769779</v>
      </c>
      <c r="P39" s="20" t="n">
        <v>2.38747915</v>
      </c>
      <c r="Q39" s="18" t="n">
        <v>0</v>
      </c>
      <c r="R39" s="20" t="n">
        <v>0</v>
      </c>
      <c r="S39" s="18" t="n">
        <v>0</v>
      </c>
      <c r="T39" s="20" t="n">
        <v>0</v>
      </c>
      <c r="U39" s="18" t="n">
        <v>0</v>
      </c>
      <c r="V39" s="20" t="n">
        <v>0</v>
      </c>
    </row>
    <row r="40" spans="1:22">
      <c r="A40" s="15" t="s">
        <v>382</v>
      </c>
      <c r="B40" s="17" t="n">
        <v>6922</v>
      </c>
      <c r="C40" s="18">
        <f>(6018.0/B40*100)</f>
        <v/>
      </c>
      <c r="D40" s="19" t="n">
        <v>904</v>
      </c>
      <c r="E40" s="18" t="n">
        <v>60.36197385</v>
      </c>
      <c r="F40" s="20" t="n">
        <v>2.83153194</v>
      </c>
      <c r="G40" s="18" t="n">
        <v>4.31001605</v>
      </c>
      <c r="H40" s="20" t="n">
        <v>1.14015622</v>
      </c>
      <c r="I40" s="18" t="n">
        <v>4.38862787</v>
      </c>
      <c r="J40" s="20" t="n">
        <v>1.18843022</v>
      </c>
      <c r="K40" s="18" t="n">
        <v>10.4062013</v>
      </c>
      <c r="L40" s="20" t="n">
        <v>2.07002451</v>
      </c>
      <c r="M40" s="18" t="s">
        <v>349</v>
      </c>
      <c r="N40" s="20" t="s">
        <v>349</v>
      </c>
      <c r="O40" s="18" t="n">
        <v>20.53318093</v>
      </c>
      <c r="P40" s="20" t="n">
        <v>2.33407824</v>
      </c>
      <c r="Q40" s="18" t="n">
        <v>0</v>
      </c>
      <c r="R40" s="20" t="n">
        <v>0</v>
      </c>
      <c r="S40" s="18" t="n">
        <v>0</v>
      </c>
      <c r="T40" s="20" t="n">
        <v>0</v>
      </c>
      <c r="U40" s="18" t="n">
        <v>0</v>
      </c>
      <c r="V40" s="20" t="n">
        <v>0</v>
      </c>
    </row>
    <row r="41" spans="1:22">
      <c r="A41" s="15" t="s">
        <v>383</v>
      </c>
      <c r="B41" s="17" t="n">
        <v>2854</v>
      </c>
      <c r="C41" s="18">
        <f>(2506.0/B41*100)</f>
        <v/>
      </c>
      <c r="D41" s="19" t="n">
        <v>348</v>
      </c>
      <c r="E41" s="18" t="n">
        <v>79.2154747</v>
      </c>
      <c r="F41" s="20" t="n">
        <v>2.25667339</v>
      </c>
      <c r="G41" s="18" t="n">
        <v>2.12671382</v>
      </c>
      <c r="H41" s="20" t="n">
        <v>0.85423512</v>
      </c>
      <c r="I41" s="18" t="n">
        <v>5.98507193</v>
      </c>
      <c r="J41" s="20" t="n">
        <v>1.33750955</v>
      </c>
      <c r="K41" s="18" t="n">
        <v>5.30034289</v>
      </c>
      <c r="L41" s="20" t="n">
        <v>1.46043628</v>
      </c>
      <c r="M41" s="18" t="s">
        <v>349</v>
      </c>
      <c r="N41" s="20" t="s">
        <v>349</v>
      </c>
      <c r="O41" s="18" t="n">
        <v>7.37239666</v>
      </c>
      <c r="P41" s="20" t="n">
        <v>1.36656211</v>
      </c>
      <c r="Q41" s="18" t="n">
        <v>0</v>
      </c>
      <c r="R41" s="20" t="n">
        <v>0</v>
      </c>
      <c r="S41" s="18" t="n">
        <v>0</v>
      </c>
      <c r="T41" s="20" t="n">
        <v>0</v>
      </c>
      <c r="U41" s="18" t="n">
        <v>0</v>
      </c>
      <c r="V41" s="20" t="n">
        <v>0</v>
      </c>
    </row>
    <row r="42" spans="1:22">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c r="U44" s="18" t="s">
        <v>349</v>
      </c>
      <c r="V44" s="20" t="s">
        <v>349</v>
      </c>
    </row>
    <row r="45" spans="1:22">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row>
    <row r="46" spans="1:22">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row>
    <row r="47" spans="1:22">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row>
    <row r="48" spans="1:22">
      <c r="A48" s="15" t="s">
        <v>390</v>
      </c>
      <c r="B48" s="17" t="n">
        <v>4682</v>
      </c>
      <c r="C48" s="18">
        <f>(4116.0/B48*100)</f>
        <v/>
      </c>
      <c r="D48" s="19" t="n">
        <v>566</v>
      </c>
      <c r="E48" s="18" t="n">
        <v>50.05792074</v>
      </c>
      <c r="F48" s="20" t="n">
        <v>2.84954968</v>
      </c>
      <c r="G48" s="18" t="n">
        <v>1.810757</v>
      </c>
      <c r="H48" s="20" t="n">
        <v>0.58032931</v>
      </c>
      <c r="I48" s="18" t="n">
        <v>15.40063143</v>
      </c>
      <c r="J48" s="20" t="n">
        <v>1.85770538</v>
      </c>
      <c r="K48" s="18" t="n">
        <v>22.62478279</v>
      </c>
      <c r="L48" s="20" t="n">
        <v>2.34130841</v>
      </c>
      <c r="M48" s="18" t="s">
        <v>349</v>
      </c>
      <c r="N48" s="20" t="s">
        <v>349</v>
      </c>
      <c r="O48" s="18" t="n">
        <v>10.10590805</v>
      </c>
      <c r="P48" s="20" t="n">
        <v>2.10999704</v>
      </c>
      <c r="Q48" s="18" t="n">
        <v>0</v>
      </c>
      <c r="R48" s="20" t="n">
        <v>0</v>
      </c>
      <c r="S48" s="18" t="n">
        <v>0</v>
      </c>
      <c r="T48" s="20" t="n">
        <v>0</v>
      </c>
      <c r="U48" s="18" t="n">
        <v>0</v>
      </c>
      <c r="V48" s="20" t="n">
        <v>0</v>
      </c>
    </row>
    <row r="49" spans="1:22">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row>
    <row r="50" spans="1:22">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row>
    <row r="51" spans="1:22">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row>
    <row r="52" spans="1:22">
      <c r="A52" s="15" t="s">
        <v>394</v>
      </c>
      <c r="B52" s="17" t="n">
        <v>3013</v>
      </c>
      <c r="C52" s="18">
        <f>(2628.0/B52*100)</f>
        <v/>
      </c>
      <c r="D52" s="19" t="n">
        <v>385</v>
      </c>
      <c r="E52" s="18" t="n">
        <v>52.1919787</v>
      </c>
      <c r="F52" s="20" t="n">
        <v>2.94472552</v>
      </c>
      <c r="G52" s="18" t="n">
        <v>1.54817722</v>
      </c>
      <c r="H52" s="20" t="n">
        <v>0.90451271</v>
      </c>
      <c r="I52" s="18" t="n">
        <v>5.669915</v>
      </c>
      <c r="J52" s="20" t="n">
        <v>1.02282522</v>
      </c>
      <c r="K52" s="18" t="n">
        <v>2.95467276</v>
      </c>
      <c r="L52" s="20" t="n">
        <v>0.75190222</v>
      </c>
      <c r="M52" s="18" t="s">
        <v>349</v>
      </c>
      <c r="N52" s="20" t="s">
        <v>349</v>
      </c>
      <c r="O52" s="18" t="n">
        <v>37.63525632</v>
      </c>
      <c r="P52" s="20" t="n">
        <v>2.77621474</v>
      </c>
      <c r="Q52" s="18" t="n">
        <v>0</v>
      </c>
      <c r="R52" s="20" t="n">
        <v>0</v>
      </c>
      <c r="S52" s="18" t="n">
        <v>0</v>
      </c>
      <c r="T52" s="20" t="n">
        <v>0</v>
      </c>
      <c r="U52" s="18" t="n">
        <v>0</v>
      </c>
      <c r="V52" s="20" t="n">
        <v>0</v>
      </c>
    </row>
    <row r="53" spans="1:22">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row>
    <row r="54" spans="1:22">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row>
    <row r="55" spans="1:22">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c r="U55" s="18" t="s">
        <v>349</v>
      </c>
      <c r="V55" s="20" t="s">
        <v>349</v>
      </c>
    </row>
    <row r="56" spans="1:22">
      <c r="A56" s="15" t="s">
        <v>398</v>
      </c>
      <c r="B56" s="17" t="n">
        <v>2675</v>
      </c>
      <c r="C56" s="18">
        <f>(2349.0/B56*100)</f>
        <v/>
      </c>
      <c r="D56" s="19" t="n">
        <v>326</v>
      </c>
      <c r="E56" s="18" t="n">
        <v>52.80901274</v>
      </c>
      <c r="F56" s="20" t="n">
        <v>2.71727412</v>
      </c>
      <c r="G56" s="18" t="n">
        <v>8.0106742</v>
      </c>
      <c r="H56" s="20" t="n">
        <v>1.58222738</v>
      </c>
      <c r="I56" s="18" t="n">
        <v>8.40234412</v>
      </c>
      <c r="J56" s="20" t="n">
        <v>1.45677676</v>
      </c>
      <c r="K56" s="18" t="n">
        <v>23.88001973</v>
      </c>
      <c r="L56" s="20" t="n">
        <v>2.7141463</v>
      </c>
      <c r="M56" s="18" t="s">
        <v>349</v>
      </c>
      <c r="N56" s="20" t="s">
        <v>349</v>
      </c>
      <c r="O56" s="18" t="n">
        <v>6.8979492</v>
      </c>
      <c r="P56" s="20" t="n">
        <v>1.51004164</v>
      </c>
      <c r="Q56" s="18" t="n">
        <v>0</v>
      </c>
      <c r="R56" s="20" t="n">
        <v>0</v>
      </c>
      <c r="S56" s="18" t="n">
        <v>0</v>
      </c>
      <c r="T56" s="20" t="n">
        <v>0</v>
      </c>
      <c r="U56" s="18" t="n">
        <v>0</v>
      </c>
      <c r="V56" s="20" t="n">
        <v>0</v>
      </c>
    </row>
    <row r="57" spans="1:22">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c r="U57" s="18" t="s">
        <v>349</v>
      </c>
      <c r="V57" s="20" t="s">
        <v>349</v>
      </c>
    </row>
    <row r="58" spans="1:22">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row>
    <row r="59" spans="1:22">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row>
    <row r="60" spans="1:22">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row>
    <row r="61" spans="1:22">
      <c r="A61" s="15" t="s">
        <v>403</v>
      </c>
      <c r="B61" s="17" t="n">
        <v>3201</v>
      </c>
      <c r="C61" s="18">
        <f>(2824.0/B61*100)</f>
        <v/>
      </c>
      <c r="D61" s="19" t="n">
        <v>377</v>
      </c>
      <c r="E61" s="18" t="n">
        <v>61.50557283</v>
      </c>
      <c r="F61" s="20" t="n">
        <v>3.30079056</v>
      </c>
      <c r="G61" s="18" t="n">
        <v>0.60291557</v>
      </c>
      <c r="H61" s="20" t="n">
        <v>0.4299429</v>
      </c>
      <c r="I61" s="18" t="n">
        <v>5.76314675</v>
      </c>
      <c r="J61" s="20" t="n">
        <v>1.14070121</v>
      </c>
      <c r="K61" s="18" t="n">
        <v>7.11577961</v>
      </c>
      <c r="L61" s="20" t="n">
        <v>2.14360718</v>
      </c>
      <c r="M61" s="18" t="s">
        <v>349</v>
      </c>
      <c r="N61" s="20" t="s">
        <v>349</v>
      </c>
      <c r="O61" s="18" t="n">
        <v>25.01258524</v>
      </c>
      <c r="P61" s="20" t="n">
        <v>2.84106256</v>
      </c>
      <c r="Q61" s="18" t="n">
        <v>0</v>
      </c>
      <c r="R61" s="20" t="n">
        <v>0</v>
      </c>
      <c r="S61" s="18" t="n">
        <v>0</v>
      </c>
      <c r="T61" s="20" t="n">
        <v>0</v>
      </c>
      <c r="U61" s="18" t="n">
        <v>0</v>
      </c>
      <c r="V61" s="20" t="n">
        <v>0</v>
      </c>
    </row>
    <row r="62" spans="1:22">
      <c r="A62" s="15" t="s">
        <v>404</v>
      </c>
      <c r="B62" s="17" t="n">
        <v>2230</v>
      </c>
      <c r="C62" s="18">
        <f>(1967.0/B62*100)</f>
        <v/>
      </c>
      <c r="D62" s="19" t="n">
        <v>263</v>
      </c>
      <c r="E62" s="18" t="n">
        <v>64.74130843</v>
      </c>
      <c r="F62" s="20" t="n">
        <v>2.91437675</v>
      </c>
      <c r="G62" s="18" t="n">
        <v>1.13236976</v>
      </c>
      <c r="H62" s="20" t="n">
        <v>0.65176501</v>
      </c>
      <c r="I62" s="18" t="n">
        <v>8.349796420000001</v>
      </c>
      <c r="J62" s="20" t="n">
        <v>1.38748747</v>
      </c>
      <c r="K62" s="18" t="n">
        <v>21.17964016</v>
      </c>
      <c r="L62" s="20" t="n">
        <v>2.39523701</v>
      </c>
      <c r="M62" s="18" t="s">
        <v>349</v>
      </c>
      <c r="N62" s="20" t="s">
        <v>349</v>
      </c>
      <c r="O62" s="18" t="n">
        <v>4.59688524</v>
      </c>
      <c r="P62" s="20" t="n">
        <v>1.14540196</v>
      </c>
      <c r="Q62" s="18" t="n">
        <v>0</v>
      </c>
      <c r="R62" s="20" t="n">
        <v>0</v>
      </c>
      <c r="S62" s="18" t="n">
        <v>0</v>
      </c>
      <c r="T62" s="20" t="n">
        <v>0</v>
      </c>
      <c r="U62" s="18" t="n">
        <v>0</v>
      </c>
      <c r="V62" s="20" t="n">
        <v>0</v>
      </c>
    </row>
    <row r="63" spans="1:22">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row>
    <row r="64" spans="1:22">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c r="U64" s="18" t="s">
        <v>349</v>
      </c>
      <c r="V64" s="20" t="s">
        <v>349</v>
      </c>
    </row>
    <row r="65" spans="1:22">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row>
    <row r="66" spans="1:22">
      <c r="A66" s="15" t="s">
        <v>408</v>
      </c>
      <c r="B66" s="17" t="n">
        <v>2771</v>
      </c>
      <c r="C66" s="18">
        <f>(2451.0/B66*100)</f>
        <v/>
      </c>
      <c r="D66" s="19" t="n">
        <v>320</v>
      </c>
      <c r="E66" s="18" t="n">
        <v>50.13507008</v>
      </c>
      <c r="F66" s="20" t="n">
        <v>2.82619089</v>
      </c>
      <c r="G66" s="18" t="n">
        <v>0</v>
      </c>
      <c r="H66" s="20" t="n">
        <v>0</v>
      </c>
      <c r="I66" s="18" t="n">
        <v>2.80897509</v>
      </c>
      <c r="J66" s="20" t="n">
        <v>0.91452849</v>
      </c>
      <c r="K66" s="18" t="n">
        <v>2.19773334</v>
      </c>
      <c r="L66" s="20" t="n">
        <v>0.91441051</v>
      </c>
      <c r="M66" s="18" t="s">
        <v>349</v>
      </c>
      <c r="N66" s="20" t="s">
        <v>349</v>
      </c>
      <c r="O66" s="18" t="n">
        <v>44.59184484</v>
      </c>
      <c r="P66" s="20" t="n">
        <v>2.83919344</v>
      </c>
      <c r="Q66" s="18" t="n">
        <v>0.26637666</v>
      </c>
      <c r="R66" s="20" t="n">
        <v>0.26799991</v>
      </c>
      <c r="S66" s="18" t="n">
        <v>0</v>
      </c>
      <c r="T66" s="20" t="n">
        <v>0</v>
      </c>
      <c r="U66" s="18" t="n">
        <v>0</v>
      </c>
      <c r="V66" s="20" t="n">
        <v>0</v>
      </c>
    </row>
    <row r="67" spans="1:22">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row>
    <row r="68" spans="1:22">
      <c r="A68" s="15" t="s">
        <v>410</v>
      </c>
      <c r="B68" s="17" t="n">
        <v>6034</v>
      </c>
      <c r="C68" s="18">
        <f>(5032.0/B68*100)</f>
        <v/>
      </c>
      <c r="D68" s="19" t="n">
        <v>1002</v>
      </c>
      <c r="E68" s="18" t="n">
        <v>71.35370039999999</v>
      </c>
      <c r="F68" s="20" t="n">
        <v>1.53643547</v>
      </c>
      <c r="G68" s="18" t="n">
        <v>0.20982254</v>
      </c>
      <c r="H68" s="20" t="n">
        <v>0.14427992</v>
      </c>
      <c r="I68" s="18" t="n">
        <v>5.0179772</v>
      </c>
      <c r="J68" s="20" t="n">
        <v>0.72435175</v>
      </c>
      <c r="K68" s="18" t="n">
        <v>2.91712152</v>
      </c>
      <c r="L68" s="20" t="n">
        <v>0.53509496</v>
      </c>
      <c r="M68" s="18" t="s">
        <v>349</v>
      </c>
      <c r="N68" s="20" t="s">
        <v>349</v>
      </c>
      <c r="O68" s="18" t="n">
        <v>20.40449728</v>
      </c>
      <c r="P68" s="20" t="n">
        <v>1.46786254</v>
      </c>
      <c r="Q68" s="18" t="n">
        <v>0.09688107</v>
      </c>
      <c r="R68" s="20" t="n">
        <v>0.09701836</v>
      </c>
      <c r="S68" s="18" t="n">
        <v>0</v>
      </c>
      <c r="T68" s="20" t="n">
        <v>0</v>
      </c>
      <c r="U68" s="18" t="n">
        <v>0</v>
      </c>
      <c r="V68" s="20" t="n">
        <v>0</v>
      </c>
    </row>
    <row r="69" spans="1:22">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row>
    <row r="70" spans="1:22">
      <c r="A70" s="15" t="s">
        <v>412</v>
      </c>
      <c r="B70" s="17" t="n">
        <v>3107</v>
      </c>
      <c r="C70" s="18">
        <f>(2730.0/B70*100)</f>
        <v/>
      </c>
      <c r="D70" s="19" t="n">
        <v>377</v>
      </c>
      <c r="E70" s="18" t="n">
        <v>59.33452183</v>
      </c>
      <c r="F70" s="20" t="n">
        <v>2.79312302</v>
      </c>
      <c r="G70" s="18" t="n">
        <v>0.26128806</v>
      </c>
      <c r="H70" s="20" t="n">
        <v>0.26028272</v>
      </c>
      <c r="I70" s="18" t="n">
        <v>3.52583118</v>
      </c>
      <c r="J70" s="20" t="n">
        <v>1.01257693</v>
      </c>
      <c r="K70" s="18" t="n">
        <v>5.40742305</v>
      </c>
      <c r="L70" s="20" t="n">
        <v>1.26938003</v>
      </c>
      <c r="M70" s="18" t="s">
        <v>349</v>
      </c>
      <c r="N70" s="20" t="s">
        <v>349</v>
      </c>
      <c r="O70" s="18" t="n">
        <v>29.23454391</v>
      </c>
      <c r="P70" s="20" t="n">
        <v>2.50195412</v>
      </c>
      <c r="Q70" s="18" t="n">
        <v>2.23639197</v>
      </c>
      <c r="R70" s="20" t="n">
        <v>0.58097283</v>
      </c>
      <c r="S70" s="18" t="n">
        <v>0</v>
      </c>
      <c r="T70" s="20" t="n">
        <v>0</v>
      </c>
      <c r="U70" s="18" t="n">
        <v>0</v>
      </c>
      <c r="V70" s="20" t="n">
        <v>0</v>
      </c>
    </row>
    <row r="71" spans="1:22">
      <c r="A71" s="15" t="s">
        <v>413</v>
      </c>
      <c r="B71" s="17" t="n">
        <v>2973</v>
      </c>
      <c r="C71" s="18">
        <f>(2602.0/B71*100)</f>
        <v/>
      </c>
      <c r="D71" s="19" t="n">
        <v>371</v>
      </c>
      <c r="E71" s="18" t="n">
        <v>49.95609648</v>
      </c>
      <c r="F71" s="20" t="n">
        <v>2.49454659</v>
      </c>
      <c r="G71" s="18" t="n">
        <v>2.47134388</v>
      </c>
      <c r="H71" s="20" t="n">
        <v>0.89396774</v>
      </c>
      <c r="I71" s="18" t="n">
        <v>16.77595402</v>
      </c>
      <c r="J71" s="20" t="n">
        <v>1.98285297</v>
      </c>
      <c r="K71" s="18" t="n">
        <v>24.08101155</v>
      </c>
      <c r="L71" s="20" t="n">
        <v>2.3958925</v>
      </c>
      <c r="M71" s="18" t="s">
        <v>349</v>
      </c>
      <c r="N71" s="20" t="s">
        <v>349</v>
      </c>
      <c r="O71" s="18" t="n">
        <v>6.71559408</v>
      </c>
      <c r="P71" s="20" t="n">
        <v>1.36337629</v>
      </c>
      <c r="Q71" s="18" t="n">
        <v>0</v>
      </c>
      <c r="R71" s="20" t="n">
        <v>0</v>
      </c>
      <c r="S71" s="18" t="n">
        <v>0</v>
      </c>
      <c r="T71" s="20" t="n">
        <v>0</v>
      </c>
      <c r="U71" s="18" t="n">
        <v>0</v>
      </c>
      <c r="V71" s="20" t="n">
        <v>0</v>
      </c>
    </row>
    <row r="72" spans="1:22">
      <c r="A72" s="15" t="s">
        <v>414</v>
      </c>
      <c r="B72" s="17" t="n">
        <v>3819</v>
      </c>
      <c r="C72" s="18">
        <f>(3344.0/B72*100)</f>
        <v/>
      </c>
      <c r="D72" s="19" t="n">
        <v>475</v>
      </c>
      <c r="E72" s="18" t="n">
        <v>49.88292387</v>
      </c>
      <c r="F72" s="20" t="n">
        <v>2.86634871</v>
      </c>
      <c r="G72" s="18" t="n">
        <v>2.09806631</v>
      </c>
      <c r="H72" s="20" t="n">
        <v>0.56389534</v>
      </c>
      <c r="I72" s="18" t="n">
        <v>13.82494257</v>
      </c>
      <c r="J72" s="20" t="n">
        <v>1.61344627</v>
      </c>
      <c r="K72" s="18" t="n">
        <v>25.29409278</v>
      </c>
      <c r="L72" s="20" t="n">
        <v>2.44046625</v>
      </c>
      <c r="M72" s="18" t="s">
        <v>349</v>
      </c>
      <c r="N72" s="20" t="s">
        <v>349</v>
      </c>
      <c r="O72" s="18" t="n">
        <v>8.89997447</v>
      </c>
      <c r="P72" s="20" t="n">
        <v>1.48007478</v>
      </c>
      <c r="Q72" s="18" t="n">
        <v>0</v>
      </c>
      <c r="R72" s="20" t="n">
        <v>0</v>
      </c>
      <c r="S72" s="18" t="n">
        <v>0</v>
      </c>
      <c r="T72" s="20" t="n">
        <v>0</v>
      </c>
      <c r="U72" s="18" t="n">
        <v>0</v>
      </c>
      <c r="V72" s="20" t="n">
        <v>0</v>
      </c>
    </row>
    <row r="73" spans="1:22">
      <c r="A73" s="15" t="s">
        <v>415</v>
      </c>
      <c r="B73" s="17" t="n">
        <v>4652</v>
      </c>
      <c r="C73" s="18">
        <f>(4134.0/B73*100)</f>
        <v/>
      </c>
      <c r="D73" s="19" t="n">
        <v>518</v>
      </c>
      <c r="E73" s="18" t="n">
        <v>88.03610912000001</v>
      </c>
      <c r="F73" s="20" t="n">
        <v>1.7634986</v>
      </c>
      <c r="G73" s="18" t="n">
        <v>0.25943838</v>
      </c>
      <c r="H73" s="20" t="n">
        <v>0.25856911</v>
      </c>
      <c r="I73" s="18" t="n">
        <v>2.3060005</v>
      </c>
      <c r="J73" s="20" t="n">
        <v>0.65186513</v>
      </c>
      <c r="K73" s="18" t="n">
        <v>0.75243471</v>
      </c>
      <c r="L73" s="20" t="n">
        <v>0.48261332</v>
      </c>
      <c r="M73" s="18" t="s">
        <v>349</v>
      </c>
      <c r="N73" s="20" t="s">
        <v>349</v>
      </c>
      <c r="O73" s="18" t="n">
        <v>8.26477236</v>
      </c>
      <c r="P73" s="20" t="n">
        <v>1.57545791</v>
      </c>
      <c r="Q73" s="18" t="n">
        <v>0.38124494</v>
      </c>
      <c r="R73" s="20" t="n">
        <v>0.39589766</v>
      </c>
      <c r="S73" s="18" t="n">
        <v>0</v>
      </c>
      <c r="T73" s="20" t="n">
        <v>0</v>
      </c>
      <c r="U73" s="18" t="n">
        <v>0</v>
      </c>
      <c r="V73" s="20" t="n">
        <v>0</v>
      </c>
    </row>
    <row r="74" spans="1:22">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row>
    <row r="75" spans="1:22">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row>
    <row r="76" spans="1:22">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row>
    <row r="77" spans="1:22">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row>
    <row r="78" spans="1:22">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row>
    <row customHeight="1" ht="25" r="79" spans="1:22">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row>
    <row r="80" spans="1:22">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row>
    <row r="81" spans="1:22">
      <c r="A81" s="21" t="s">
        <v>423</v>
      </c>
      <c r="B81" s="17" t="n">
        <v>4698</v>
      </c>
      <c r="C81" s="18">
        <f>(4112.0/B81*100)</f>
        <v/>
      </c>
      <c r="D81" s="19" t="n">
        <v>586</v>
      </c>
      <c r="E81" s="18" t="n">
        <v>82.07273162</v>
      </c>
      <c r="F81" s="20" t="n">
        <v>2.12983199</v>
      </c>
      <c r="G81" s="18" t="n">
        <v>0.35369939</v>
      </c>
      <c r="H81" s="20" t="n">
        <v>0.34467175</v>
      </c>
      <c r="I81" s="18" t="n">
        <v>9.587118569999999</v>
      </c>
      <c r="J81" s="20" t="n">
        <v>1.59651912</v>
      </c>
      <c r="K81" s="18" t="n">
        <v>3.16184671</v>
      </c>
      <c r="L81" s="20" t="n">
        <v>0.88858944</v>
      </c>
      <c r="M81" s="18" t="s">
        <v>349</v>
      </c>
      <c r="N81" s="20" t="s">
        <v>349</v>
      </c>
      <c r="O81" s="18" t="n">
        <v>4.0454995</v>
      </c>
      <c r="P81" s="20" t="n">
        <v>0.98462563</v>
      </c>
      <c r="Q81" s="18" t="n">
        <v>0.77910422</v>
      </c>
      <c r="R81" s="20" t="n">
        <v>0.4441176</v>
      </c>
      <c r="S81" s="18" t="n">
        <v>0</v>
      </c>
      <c r="T81" s="20" t="n">
        <v>0</v>
      </c>
      <c r="U81" s="18" t="n">
        <v>0</v>
      </c>
      <c r="V81" s="20" t="n">
        <v>0</v>
      </c>
    </row>
    <row r="82" spans="1:22">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row>
    <row r="83" spans="1:22">
      <c r="A83" s="3" t="s">
        <v>425</v>
      </c>
    </row>
    <row r="84" spans="1:22">
      <c r="A84" s="23" t="s">
        <v>426</v>
      </c>
    </row>
    <row r="85" spans="1:22">
      <c r="A85" s="23" t="s">
        <v>427</v>
      </c>
    </row>
    <row customHeight="1" ht="30" r="86" spans="1:22">
      <c r="A86" s="23" t="s">
        <v>428</v>
      </c>
    </row>
    <row customHeight="1" ht="30" r="87" spans="1:22">
      <c r="A87" s="23" t="s">
        <v>424</v>
      </c>
    </row>
    <row customHeight="1" ht="30" r="88" spans="1:22">
      <c r="A88" s="23" t="s">
        <v>429</v>
      </c>
    </row>
    <row customHeight="1" ht="30" r="89" spans="1:22">
      <c r="A89" s="23" t="s">
        <v>430</v>
      </c>
    </row>
    <row customHeight="1" ht="30" r="90" spans="1:22">
      <c r="A90" s="23" t="s">
        <v>431</v>
      </c>
    </row>
    <row customHeight="1" ht="30" r="91" spans="1:22">
      <c r="A91" s="23" t="s">
        <v>432</v>
      </c>
    </row>
    <row customHeight="1" ht="30" r="92" spans="1:22">
      <c r="A92" s="23" t="s">
        <v>433</v>
      </c>
    </row>
    <row customHeight="1" ht="30" r="93" spans="1:22">
      <c r="A93" s="23" t="s">
        <v>434</v>
      </c>
    </row>
    <row customHeight="1" ht="30" r="94" spans="1:22">
      <c r="A94" s="23" t="s">
        <v>435</v>
      </c>
    </row>
    <row customHeight="1" ht="30" r="95" spans="1:22">
      <c r="A95" s="23" t="s">
        <v>436</v>
      </c>
    </row>
    <row customHeight="1" ht="30" r="96" spans="1:22">
      <c r="A96" s="23" t="s">
        <v>437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(3052.0/B11*100)</f>
        <v/>
      </c>
      <c r="D11" s="19" t="n">
        <v>448</v>
      </c>
      <c r="E11" s="18" t="n">
        <v>12.77856344</v>
      </c>
      <c r="F11" s="20" t="n">
        <v>1.6917533</v>
      </c>
      <c r="G11" s="18" t="n">
        <v>87.15514906</v>
      </c>
      <c r="H11" s="20" t="n">
        <v>1.68886535</v>
      </c>
      <c r="I11" s="18" t="s">
        <v>349</v>
      </c>
      <c r="J11" s="20" t="s">
        <v>349</v>
      </c>
      <c r="K11" s="18" t="n">
        <v>0</v>
      </c>
      <c r="L11" s="20" t="n">
        <v>0</v>
      </c>
      <c r="M11" s="18" t="n">
        <v>0</v>
      </c>
      <c r="N11" s="20" t="n">
        <v>0</v>
      </c>
      <c r="O11" s="18" t="n">
        <v>0</v>
      </c>
      <c r="P11" s="20" t="n">
        <v>0</v>
      </c>
      <c r="Q11" s="18" t="n">
        <v>0.0662875</v>
      </c>
      <c r="R11" s="20" t="n">
        <v>0.06142067</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(3356.0/B28*100)</f>
        <v/>
      </c>
      <c r="D28" s="19" t="n">
        <v>447</v>
      </c>
      <c r="E28" s="18" t="n">
        <v>18.0404427</v>
      </c>
      <c r="F28" s="20" t="n">
        <v>2.06238923</v>
      </c>
      <c r="G28" s="18" t="n">
        <v>81.30533545999999</v>
      </c>
      <c r="H28" s="20" t="n">
        <v>2.08324074</v>
      </c>
      <c r="I28" s="18" t="s">
        <v>349</v>
      </c>
      <c r="J28" s="20" t="s">
        <v>349</v>
      </c>
      <c r="K28" s="18" t="n">
        <v>0</v>
      </c>
      <c r="L28" s="20" t="n">
        <v>0</v>
      </c>
      <c r="M28" s="18" t="n">
        <v>0</v>
      </c>
      <c r="N28" s="20" t="n">
        <v>0</v>
      </c>
      <c r="O28" s="18" t="n">
        <v>0</v>
      </c>
      <c r="P28" s="20" t="n">
        <v>0</v>
      </c>
      <c r="Q28" s="18" t="n">
        <v>0.6542218400000001</v>
      </c>
      <c r="R28" s="20" t="n">
        <v>0.33194048</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(10642.0/B46*100)</f>
        <v/>
      </c>
      <c r="D46" s="19" t="n">
        <v>1431</v>
      </c>
      <c r="E46" s="18" t="n">
        <v>26.59631631</v>
      </c>
      <c r="F46" s="20" t="n">
        <v>1.5903696</v>
      </c>
      <c r="G46" s="18" t="n">
        <v>72.30580777</v>
      </c>
      <c r="H46" s="20" t="n">
        <v>1.625099</v>
      </c>
      <c r="I46" s="18" t="s">
        <v>349</v>
      </c>
      <c r="J46" s="20" t="s">
        <v>349</v>
      </c>
      <c r="K46" s="18" t="n">
        <v>0.17395668</v>
      </c>
      <c r="L46" s="20" t="n">
        <v>0.12387275</v>
      </c>
      <c r="M46" s="18" t="n">
        <v>0</v>
      </c>
      <c r="N46" s="20" t="n">
        <v>0</v>
      </c>
      <c r="O46" s="18" t="n">
        <v>0</v>
      </c>
      <c r="P46" s="20" t="n">
        <v>0</v>
      </c>
      <c r="Q46" s="18" t="n">
        <v>0.92391924</v>
      </c>
      <c r="R46" s="20" t="n">
        <v>0.28413858</v>
      </c>
    </row>
    <row r="47" spans="1:18">
      <c r="A47" s="15" t="s">
        <v>389</v>
      </c>
      <c r="B47" s="17" t="n">
        <v>2823</v>
      </c>
      <c r="C47" s="18">
        <f>(2478.0/B47*100)</f>
        <v/>
      </c>
      <c r="D47" s="19" t="n">
        <v>345</v>
      </c>
      <c r="E47" s="18" t="n">
        <v>11.4427215</v>
      </c>
      <c r="F47" s="20" t="n">
        <v>1.65085914</v>
      </c>
      <c r="G47" s="18" t="n">
        <v>87.93314897</v>
      </c>
      <c r="H47" s="20" t="n">
        <v>1.59397696</v>
      </c>
      <c r="I47" s="18" t="s">
        <v>349</v>
      </c>
      <c r="J47" s="20" t="s">
        <v>349</v>
      </c>
      <c r="K47" s="18" t="n">
        <v>0.31943038</v>
      </c>
      <c r="L47" s="20" t="n">
        <v>0.34700116</v>
      </c>
      <c r="M47" s="18" t="n">
        <v>0</v>
      </c>
      <c r="N47" s="20" t="n">
        <v>0</v>
      </c>
      <c r="O47" s="18" t="n">
        <v>0</v>
      </c>
      <c r="P47" s="20" t="n">
        <v>0</v>
      </c>
      <c r="Q47" s="18" t="n">
        <v>0.30469914</v>
      </c>
      <c r="R47" s="20" t="n">
        <v>0.27535424</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(5424.0/B50*100)</f>
        <v/>
      </c>
      <c r="D50" s="19" t="n">
        <v>734</v>
      </c>
      <c r="E50" s="18" t="n">
        <v>16.85053822</v>
      </c>
      <c r="F50" s="20" t="n">
        <v>1.73998118</v>
      </c>
      <c r="G50" s="18" t="n">
        <v>82.56538783000001</v>
      </c>
      <c r="H50" s="20" t="n">
        <v>1.85809903</v>
      </c>
      <c r="I50" s="18" t="s">
        <v>349</v>
      </c>
      <c r="J50" s="20" t="s">
        <v>349</v>
      </c>
      <c r="K50" s="18" t="n">
        <v>0.58407395</v>
      </c>
      <c r="L50" s="20" t="n">
        <v>0.61467028</v>
      </c>
      <c r="M50" s="18" t="n">
        <v>0</v>
      </c>
      <c r="N50" s="20" t="n">
        <v>0</v>
      </c>
      <c r="O50" s="18" t="n">
        <v>0</v>
      </c>
      <c r="P50" s="20" t="n">
        <v>0</v>
      </c>
      <c r="Q50" s="18" t="n">
        <v>0</v>
      </c>
      <c r="R50" s="20" t="n">
        <v>0</v>
      </c>
    </row>
    <row r="51" spans="1:18">
      <c r="A51" s="15" t="s">
        <v>393</v>
      </c>
      <c r="B51" s="17" t="n">
        <v>3494</v>
      </c>
      <c r="C51" s="18">
        <f>(3100.0/B51*100)</f>
        <v/>
      </c>
      <c r="D51" s="19" t="n">
        <v>394</v>
      </c>
      <c r="E51" s="18" t="n">
        <v>15.99469181</v>
      </c>
      <c r="F51" s="20" t="n">
        <v>1.8716703</v>
      </c>
      <c r="G51" s="18" t="n">
        <v>83.11778679</v>
      </c>
      <c r="H51" s="20" t="n">
        <v>1.98481361</v>
      </c>
      <c r="I51" s="18" t="s">
        <v>349</v>
      </c>
      <c r="J51" s="20" t="s">
        <v>349</v>
      </c>
      <c r="K51" s="18" t="n">
        <v>0.34513894</v>
      </c>
      <c r="L51" s="20" t="n">
        <v>0.34464635</v>
      </c>
      <c r="M51" s="18" t="n">
        <v>0</v>
      </c>
      <c r="N51" s="20" t="n">
        <v>0</v>
      </c>
      <c r="O51" s="18" t="n">
        <v>0</v>
      </c>
      <c r="P51" s="20" t="n">
        <v>0</v>
      </c>
      <c r="Q51" s="18" t="n">
        <v>0.54238246</v>
      </c>
      <c r="R51" s="20" t="n">
        <v>0.3797785</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(2420.0/B53*100)</f>
        <v/>
      </c>
      <c r="D53" s="19" t="n">
        <v>340</v>
      </c>
      <c r="E53" s="18" t="n">
        <v>18.50812588</v>
      </c>
      <c r="F53" s="20" t="n">
        <v>2.20032668</v>
      </c>
      <c r="G53" s="18" t="n">
        <v>81.01696380999999</v>
      </c>
      <c r="H53" s="20" t="n">
        <v>2.17111243</v>
      </c>
      <c r="I53" s="18" t="s">
        <v>349</v>
      </c>
      <c r="J53" s="20" t="s">
        <v>349</v>
      </c>
      <c r="K53" s="18" t="n">
        <v>0.21710137</v>
      </c>
      <c r="L53" s="20" t="n">
        <v>0.21819496</v>
      </c>
      <c r="M53" s="18" t="n">
        <v>0</v>
      </c>
      <c r="N53" s="20" t="n">
        <v>0</v>
      </c>
      <c r="O53" s="18" t="n">
        <v>0</v>
      </c>
      <c r="P53" s="20" t="n">
        <v>0</v>
      </c>
      <c r="Q53" s="18" t="n">
        <v>0.25780893</v>
      </c>
      <c r="R53" s="20" t="n">
        <v>0.25664095</v>
      </c>
    </row>
    <row r="54" spans="1:18">
      <c r="A54" s="15" t="s">
        <v>396</v>
      </c>
      <c r="B54" s="17" t="n">
        <v>2474</v>
      </c>
      <c r="C54" s="18">
        <f>(2048.0/B54*100)</f>
        <v/>
      </c>
      <c r="D54" s="19" t="n">
        <v>426</v>
      </c>
      <c r="E54" s="18" t="n">
        <v>35.78245467</v>
      </c>
      <c r="F54" s="20" t="n">
        <v>2.56160921</v>
      </c>
      <c r="G54" s="18" t="n">
        <v>60.62205399</v>
      </c>
      <c r="H54" s="20" t="n">
        <v>2.35282485</v>
      </c>
      <c r="I54" s="18" t="s">
        <v>349</v>
      </c>
      <c r="J54" s="20" t="s">
        <v>349</v>
      </c>
      <c r="K54" s="18" t="n">
        <v>1.7302253</v>
      </c>
      <c r="L54" s="20" t="n">
        <v>0.74521569</v>
      </c>
      <c r="M54" s="18" t="n">
        <v>0</v>
      </c>
      <c r="N54" s="20" t="n">
        <v>0</v>
      </c>
      <c r="O54" s="18" t="n">
        <v>0</v>
      </c>
      <c r="P54" s="20" t="n">
        <v>0</v>
      </c>
      <c r="Q54" s="18" t="n">
        <v>1.86526605</v>
      </c>
      <c r="R54" s="20" t="n">
        <v>0.64258464</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(3037.0/B67*100)</f>
        <v/>
      </c>
      <c r="D67" s="19" t="n">
        <v>423</v>
      </c>
      <c r="E67" s="18" t="n">
        <v>24.13209122</v>
      </c>
      <c r="F67" s="20" t="n">
        <v>1.86366163</v>
      </c>
      <c r="G67" s="18" t="n">
        <v>74.44663654999999</v>
      </c>
      <c r="H67" s="20" t="n">
        <v>1.89485224</v>
      </c>
      <c r="I67" s="18" t="s">
        <v>349</v>
      </c>
      <c r="J67" s="20" t="s">
        <v>349</v>
      </c>
      <c r="K67" s="18" t="n">
        <v>0.31621406</v>
      </c>
      <c r="L67" s="20" t="n">
        <v>0.31547625</v>
      </c>
      <c r="M67" s="18" t="n">
        <v>0</v>
      </c>
      <c r="N67" s="20" t="n">
        <v>0</v>
      </c>
      <c r="O67" s="18" t="n">
        <v>0</v>
      </c>
      <c r="P67" s="20" t="n">
        <v>0</v>
      </c>
      <c r="Q67" s="18" t="n">
        <v>1.10505817</v>
      </c>
      <c r="R67" s="20" t="n">
        <v>0.52528546</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(2612.0/B75*100)</f>
        <v/>
      </c>
      <c r="D75" s="19" t="n">
        <v>357</v>
      </c>
      <c r="E75" s="18" t="n">
        <v>30.67057734</v>
      </c>
      <c r="F75" s="20" t="n">
        <v>2.29037876</v>
      </c>
      <c r="G75" s="18" t="n">
        <v>67.32116233000001</v>
      </c>
      <c r="H75" s="20" t="n">
        <v>2.35391795</v>
      </c>
      <c r="I75" s="18" t="s">
        <v>349</v>
      </c>
      <c r="J75" s="20" t="s">
        <v>349</v>
      </c>
      <c r="K75" s="18" t="n">
        <v>0.35855795</v>
      </c>
      <c r="L75" s="20" t="n">
        <v>0.36062793</v>
      </c>
      <c r="M75" s="18" t="n">
        <v>0</v>
      </c>
      <c r="N75" s="20" t="n">
        <v>0</v>
      </c>
      <c r="O75" s="18" t="n">
        <v>0</v>
      </c>
      <c r="P75" s="20" t="n">
        <v>0</v>
      </c>
      <c r="Q75" s="18" t="n">
        <v>1.64970238</v>
      </c>
      <c r="R75" s="20" t="n">
        <v>0.74946854</v>
      </c>
    </row>
    <row r="76" spans="1:18">
      <c r="A76" s="15" t="s">
        <v>418</v>
      </c>
      <c r="B76" s="17" t="n">
        <v>7115</v>
      </c>
      <c r="C76" s="18">
        <f>(6238.0/B76*100)</f>
        <v/>
      </c>
      <c r="D76" s="19" t="n">
        <v>877</v>
      </c>
      <c r="E76" s="18" t="n">
        <v>16.11027253</v>
      </c>
      <c r="F76" s="20" t="n">
        <v>1.68863644</v>
      </c>
      <c r="G76" s="18" t="n">
        <v>83.11688823</v>
      </c>
      <c r="H76" s="20" t="n">
        <v>1.7292308</v>
      </c>
      <c r="I76" s="18" t="s">
        <v>349</v>
      </c>
      <c r="J76" s="20" t="s">
        <v>349</v>
      </c>
      <c r="K76" s="18" t="n">
        <v>0.07139255999999999</v>
      </c>
      <c r="L76" s="20" t="n">
        <v>0.07188313</v>
      </c>
      <c r="M76" s="18" t="n">
        <v>0</v>
      </c>
      <c r="N76" s="20" t="n">
        <v>0</v>
      </c>
      <c r="O76" s="18" t="n">
        <v>0</v>
      </c>
      <c r="P76" s="20" t="n">
        <v>0</v>
      </c>
      <c r="Q76" s="18" t="n">
        <v>0.70144668</v>
      </c>
      <c r="R76" s="20" t="n">
        <v>0.31803286</v>
      </c>
    </row>
    <row r="77" spans="1:18">
      <c r="A77" s="15" t="s">
        <v>419</v>
      </c>
      <c r="B77" s="17" t="n">
        <v>3154</v>
      </c>
      <c r="C77" s="18">
        <f>(2772.0/B77*100)</f>
        <v/>
      </c>
      <c r="D77" s="19" t="n">
        <v>382</v>
      </c>
      <c r="E77" s="18" t="n">
        <v>21.98288936</v>
      </c>
      <c r="F77" s="20" t="n">
        <v>2.07342572</v>
      </c>
      <c r="G77" s="18" t="n">
        <v>77.75093568</v>
      </c>
      <c r="H77" s="20" t="n">
        <v>2.07256651</v>
      </c>
      <c r="I77" s="18" t="s">
        <v>349</v>
      </c>
      <c r="J77" s="20" t="s">
        <v>349</v>
      </c>
      <c r="K77" s="18" t="n">
        <v>0</v>
      </c>
      <c r="L77" s="20" t="n">
        <v>0</v>
      </c>
      <c r="M77" s="18" t="n">
        <v>0</v>
      </c>
      <c r="N77" s="20" t="n">
        <v>0</v>
      </c>
      <c r="O77" s="18" t="n">
        <v>0</v>
      </c>
      <c r="P77" s="20" t="n">
        <v>0</v>
      </c>
      <c r="Q77" s="18" t="n">
        <v>0.26617495</v>
      </c>
      <c r="R77" s="20" t="n">
        <v>0.26489292</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(3052.0/B11*100)</f>
        <v/>
      </c>
      <c r="D11" s="19" t="n">
        <v>448</v>
      </c>
      <c r="E11" s="18" t="n">
        <v>39.76859506</v>
      </c>
      <c r="F11" s="20" t="n">
        <v>2.96046172</v>
      </c>
      <c r="G11" s="18" t="n">
        <v>51.4272096</v>
      </c>
      <c r="H11" s="20" t="n">
        <v>2.88555721</v>
      </c>
      <c r="I11" s="18" t="s">
        <v>349</v>
      </c>
      <c r="J11" s="20" t="s">
        <v>349</v>
      </c>
      <c r="K11" s="18" t="n">
        <v>0.52666945</v>
      </c>
      <c r="L11" s="20" t="n">
        <v>0.39990721</v>
      </c>
      <c r="M11" s="18" t="n">
        <v>0</v>
      </c>
      <c r="N11" s="20" t="n">
        <v>0</v>
      </c>
      <c r="O11" s="18" t="n">
        <v>0</v>
      </c>
      <c r="P11" s="20" t="n">
        <v>0</v>
      </c>
      <c r="Q11" s="18" t="n">
        <v>8.27752589</v>
      </c>
      <c r="R11" s="20" t="n">
        <v>1.10006019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(3355.0/B28*100)</f>
        <v/>
      </c>
      <c r="D28" s="19" t="n">
        <v>448</v>
      </c>
      <c r="E28" s="18" t="n">
        <v>40.32257839</v>
      </c>
      <c r="F28" s="20" t="n">
        <v>2.75474023</v>
      </c>
      <c r="G28" s="18" t="n">
        <v>56.98204933</v>
      </c>
      <c r="H28" s="20" t="n">
        <v>2.72962213</v>
      </c>
      <c r="I28" s="18" t="s">
        <v>349</v>
      </c>
      <c r="J28" s="20" t="s">
        <v>349</v>
      </c>
      <c r="K28" s="18" t="n">
        <v>0.24238184</v>
      </c>
      <c r="L28" s="20" t="n">
        <v>0.24261733</v>
      </c>
      <c r="M28" s="18" t="n">
        <v>0</v>
      </c>
      <c r="N28" s="20" t="n">
        <v>0</v>
      </c>
      <c r="O28" s="18" t="n">
        <v>0</v>
      </c>
      <c r="P28" s="20" t="n">
        <v>0</v>
      </c>
      <c r="Q28" s="18" t="n">
        <v>2.45299044</v>
      </c>
      <c r="R28" s="20" t="n">
        <v>1.02022087</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(10656.0/B46*100)</f>
        <v/>
      </c>
      <c r="D46" s="19" t="n">
        <v>1417</v>
      </c>
      <c r="E46" s="18" t="n">
        <v>49.68610901</v>
      </c>
      <c r="F46" s="20" t="n">
        <v>1.66591245</v>
      </c>
      <c r="G46" s="18" t="n">
        <v>39.29795733</v>
      </c>
      <c r="H46" s="20" t="n">
        <v>1.64605263</v>
      </c>
      <c r="I46" s="18" t="s">
        <v>349</v>
      </c>
      <c r="J46" s="20" t="s">
        <v>349</v>
      </c>
      <c r="K46" s="18" t="n">
        <v>0.42178482</v>
      </c>
      <c r="L46" s="20" t="n">
        <v>0.22044773</v>
      </c>
      <c r="M46" s="18" t="n">
        <v>0</v>
      </c>
      <c r="N46" s="20" t="n">
        <v>0</v>
      </c>
      <c r="O46" s="18" t="n">
        <v>0</v>
      </c>
      <c r="P46" s="20" t="n">
        <v>0</v>
      </c>
      <c r="Q46" s="18" t="n">
        <v>10.59414883</v>
      </c>
      <c r="R46" s="20" t="n">
        <v>1.03665807</v>
      </c>
    </row>
    <row r="47" spans="1:18">
      <c r="A47" s="15" t="s">
        <v>389</v>
      </c>
      <c r="B47" s="17" t="n">
        <v>2823</v>
      </c>
      <c r="C47" s="18">
        <f>(2477.0/B47*100)</f>
        <v/>
      </c>
      <c r="D47" s="19" t="n">
        <v>346</v>
      </c>
      <c r="E47" s="18" t="n">
        <v>30.91007348</v>
      </c>
      <c r="F47" s="20" t="n">
        <v>2.25830481</v>
      </c>
      <c r="G47" s="18" t="n">
        <v>63.88390471</v>
      </c>
      <c r="H47" s="20" t="n">
        <v>2.53931804</v>
      </c>
      <c r="I47" s="18" t="s">
        <v>349</v>
      </c>
      <c r="J47" s="20" t="s">
        <v>349</v>
      </c>
      <c r="K47" s="18" t="n">
        <v>0.31857071</v>
      </c>
      <c r="L47" s="20" t="n">
        <v>0.34608458</v>
      </c>
      <c r="M47" s="18" t="n">
        <v>0</v>
      </c>
      <c r="N47" s="20" t="n">
        <v>0</v>
      </c>
      <c r="O47" s="18" t="n">
        <v>0</v>
      </c>
      <c r="P47" s="20" t="n">
        <v>0</v>
      </c>
      <c r="Q47" s="18" t="n">
        <v>4.8874511</v>
      </c>
      <c r="R47" s="20" t="n">
        <v>1.16840664</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(5425.0/B50*100)</f>
        <v/>
      </c>
      <c r="D50" s="19" t="n">
        <v>733</v>
      </c>
      <c r="E50" s="18" t="n">
        <v>49.95643011</v>
      </c>
      <c r="F50" s="20" t="n">
        <v>2.38443032</v>
      </c>
      <c r="G50" s="18" t="n">
        <v>48.21655407</v>
      </c>
      <c r="H50" s="20" t="n">
        <v>2.37687912</v>
      </c>
      <c r="I50" s="18" t="s">
        <v>349</v>
      </c>
      <c r="J50" s="20" t="s">
        <v>349</v>
      </c>
      <c r="K50" s="18" t="n">
        <v>0.5847706499999999</v>
      </c>
      <c r="L50" s="20" t="n">
        <v>0.61541427</v>
      </c>
      <c r="M50" s="18" t="n">
        <v>0</v>
      </c>
      <c r="N50" s="20" t="n">
        <v>0</v>
      </c>
      <c r="O50" s="18" t="n">
        <v>0</v>
      </c>
      <c r="P50" s="20" t="n">
        <v>0</v>
      </c>
      <c r="Q50" s="18" t="n">
        <v>1.24224516</v>
      </c>
      <c r="R50" s="20" t="n">
        <v>0.48258872</v>
      </c>
    </row>
    <row r="51" spans="1:18">
      <c r="A51" s="15" t="s">
        <v>393</v>
      </c>
      <c r="B51" s="17" t="n">
        <v>3494</v>
      </c>
      <c r="C51" s="18">
        <f>(3100.0/B51*100)</f>
        <v/>
      </c>
      <c r="D51" s="19" t="n">
        <v>394</v>
      </c>
      <c r="E51" s="18" t="n">
        <v>43.70503292</v>
      </c>
      <c r="F51" s="20" t="n">
        <v>3.01417946</v>
      </c>
      <c r="G51" s="18" t="n">
        <v>51.49791289</v>
      </c>
      <c r="H51" s="20" t="n">
        <v>2.75983854</v>
      </c>
      <c r="I51" s="18" t="s">
        <v>349</v>
      </c>
      <c r="J51" s="20" t="s">
        <v>349</v>
      </c>
      <c r="K51" s="18" t="n">
        <v>0.34513894</v>
      </c>
      <c r="L51" s="20" t="n">
        <v>0.34464635</v>
      </c>
      <c r="M51" s="18" t="n">
        <v>0</v>
      </c>
      <c r="N51" s="20" t="n">
        <v>0</v>
      </c>
      <c r="O51" s="18" t="n">
        <v>0</v>
      </c>
      <c r="P51" s="20" t="n">
        <v>0</v>
      </c>
      <c r="Q51" s="18" t="n">
        <v>4.45191525</v>
      </c>
      <c r="R51" s="20" t="n">
        <v>1.02837942</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(2420.0/B53*100)</f>
        <v/>
      </c>
      <c r="D53" s="19" t="n">
        <v>340</v>
      </c>
      <c r="E53" s="18" t="n">
        <v>37.92856353</v>
      </c>
      <c r="F53" s="20" t="n">
        <v>2.89692827</v>
      </c>
      <c r="G53" s="18" t="n">
        <v>59.60290562</v>
      </c>
      <c r="H53" s="20" t="n">
        <v>2.73801751</v>
      </c>
      <c r="I53" s="18" t="s">
        <v>349</v>
      </c>
      <c r="J53" s="20" t="s">
        <v>349</v>
      </c>
      <c r="K53" s="18" t="n">
        <v>0.21710137</v>
      </c>
      <c r="L53" s="20" t="n">
        <v>0.21819496</v>
      </c>
      <c r="M53" s="18" t="n">
        <v>0</v>
      </c>
      <c r="N53" s="20" t="n">
        <v>0</v>
      </c>
      <c r="O53" s="18" t="n">
        <v>0</v>
      </c>
      <c r="P53" s="20" t="n">
        <v>0</v>
      </c>
      <c r="Q53" s="18" t="n">
        <v>2.25142948</v>
      </c>
      <c r="R53" s="20" t="n">
        <v>0.74317921</v>
      </c>
    </row>
    <row r="54" spans="1:18">
      <c r="A54" s="15" t="s">
        <v>396</v>
      </c>
      <c r="B54" s="17" t="n">
        <v>2474</v>
      </c>
      <c r="C54" s="18">
        <f>(2048.0/B54*100)</f>
        <v/>
      </c>
      <c r="D54" s="19" t="n">
        <v>426</v>
      </c>
      <c r="E54" s="18" t="n">
        <v>60.10368471</v>
      </c>
      <c r="F54" s="20" t="n">
        <v>2.77203067</v>
      </c>
      <c r="G54" s="18" t="n">
        <v>28.86597375</v>
      </c>
      <c r="H54" s="20" t="n">
        <v>2.49263537</v>
      </c>
      <c r="I54" s="18" t="s">
        <v>349</v>
      </c>
      <c r="J54" s="20" t="s">
        <v>349</v>
      </c>
      <c r="K54" s="18" t="n">
        <v>2.38142104</v>
      </c>
      <c r="L54" s="20" t="n">
        <v>0.88760043</v>
      </c>
      <c r="M54" s="18" t="n">
        <v>0</v>
      </c>
      <c r="N54" s="20" t="n">
        <v>0</v>
      </c>
      <c r="O54" s="18" t="n">
        <v>0</v>
      </c>
      <c r="P54" s="20" t="n">
        <v>0</v>
      </c>
      <c r="Q54" s="18" t="n">
        <v>8.64892049</v>
      </c>
      <c r="R54" s="20" t="n">
        <v>1.76055011</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(3041.0/B67*100)</f>
        <v/>
      </c>
      <c r="D67" s="19" t="n">
        <v>419</v>
      </c>
      <c r="E67" s="18" t="n">
        <v>46.54898819</v>
      </c>
      <c r="F67" s="20" t="n">
        <v>2.55865751</v>
      </c>
      <c r="G67" s="18" t="n">
        <v>48.16977972</v>
      </c>
      <c r="H67" s="20" t="n">
        <v>2.49946168</v>
      </c>
      <c r="I67" s="18" t="s">
        <v>349</v>
      </c>
      <c r="J67" s="20" t="s">
        <v>349</v>
      </c>
      <c r="K67" s="18" t="n">
        <v>0.50943519</v>
      </c>
      <c r="L67" s="20" t="n">
        <v>0.37461536</v>
      </c>
      <c r="M67" s="18" t="n">
        <v>0</v>
      </c>
      <c r="N67" s="20" t="n">
        <v>0</v>
      </c>
      <c r="O67" s="18" t="n">
        <v>0</v>
      </c>
      <c r="P67" s="20" t="n">
        <v>0</v>
      </c>
      <c r="Q67" s="18" t="n">
        <v>4.77179689</v>
      </c>
      <c r="R67" s="20" t="n">
        <v>1.2809879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(2612.0/B75*100)</f>
        <v/>
      </c>
      <c r="D75" s="19" t="n">
        <v>357</v>
      </c>
      <c r="E75" s="18" t="n">
        <v>48.78982147</v>
      </c>
      <c r="F75" s="20" t="n">
        <v>2.76549946</v>
      </c>
      <c r="G75" s="18" t="n">
        <v>44.5155277</v>
      </c>
      <c r="H75" s="20" t="n">
        <v>2.83646701</v>
      </c>
      <c r="I75" s="18" t="s">
        <v>349</v>
      </c>
      <c r="J75" s="20" t="s">
        <v>349</v>
      </c>
      <c r="K75" s="18" t="n">
        <v>0.96250343</v>
      </c>
      <c r="L75" s="20" t="n">
        <v>0.524268</v>
      </c>
      <c r="M75" s="18" t="n">
        <v>0</v>
      </c>
      <c r="N75" s="20" t="n">
        <v>0</v>
      </c>
      <c r="O75" s="18" t="n">
        <v>0</v>
      </c>
      <c r="P75" s="20" t="n">
        <v>0</v>
      </c>
      <c r="Q75" s="18" t="n">
        <v>5.7321474</v>
      </c>
      <c r="R75" s="20" t="n">
        <v>1.39740746</v>
      </c>
    </row>
    <row r="76" spans="1:18">
      <c r="A76" s="15" t="s">
        <v>418</v>
      </c>
      <c r="B76" s="17" t="n">
        <v>7115</v>
      </c>
      <c r="C76" s="18">
        <f>(6238.0/B76*100)</f>
        <v/>
      </c>
      <c r="D76" s="19" t="n">
        <v>877</v>
      </c>
      <c r="E76" s="18" t="n">
        <v>38.65453513</v>
      </c>
      <c r="F76" s="20" t="n">
        <v>1.91785117</v>
      </c>
      <c r="G76" s="18" t="n">
        <v>59.15705435</v>
      </c>
      <c r="H76" s="20" t="n">
        <v>2.00655697</v>
      </c>
      <c r="I76" s="18" t="s">
        <v>349</v>
      </c>
      <c r="J76" s="20" t="s">
        <v>349</v>
      </c>
      <c r="K76" s="18" t="n">
        <v>0.07139255999999999</v>
      </c>
      <c r="L76" s="20" t="n">
        <v>0.07188313</v>
      </c>
      <c r="M76" s="18" t="n">
        <v>0</v>
      </c>
      <c r="N76" s="20" t="n">
        <v>0</v>
      </c>
      <c r="O76" s="18" t="n">
        <v>0</v>
      </c>
      <c r="P76" s="20" t="n">
        <v>0</v>
      </c>
      <c r="Q76" s="18" t="n">
        <v>2.11701796</v>
      </c>
      <c r="R76" s="20" t="n">
        <v>0.59983626</v>
      </c>
    </row>
    <row r="77" spans="1:18">
      <c r="A77" s="15" t="s">
        <v>419</v>
      </c>
      <c r="B77" s="17" t="n">
        <v>3154</v>
      </c>
      <c r="C77" s="18">
        <f>(2772.0/B77*100)</f>
        <v/>
      </c>
      <c r="D77" s="19" t="n">
        <v>382</v>
      </c>
      <c r="E77" s="18" t="n">
        <v>33.17660829</v>
      </c>
      <c r="F77" s="20" t="n">
        <v>2.62490107</v>
      </c>
      <c r="G77" s="18" t="n">
        <v>57.85709393</v>
      </c>
      <c r="H77" s="20" t="n">
        <v>2.61468842</v>
      </c>
      <c r="I77" s="18" t="s">
        <v>349</v>
      </c>
      <c r="J77" s="20" t="s">
        <v>349</v>
      </c>
      <c r="K77" s="18" t="n">
        <v>0</v>
      </c>
      <c r="L77" s="20" t="n">
        <v>0</v>
      </c>
      <c r="M77" s="18" t="n">
        <v>0</v>
      </c>
      <c r="N77" s="20" t="n">
        <v>0</v>
      </c>
      <c r="O77" s="18" t="n">
        <v>0</v>
      </c>
      <c r="P77" s="20" t="n">
        <v>0</v>
      </c>
      <c r="Q77" s="18" t="n">
        <v>8.96629778</v>
      </c>
      <c r="R77" s="20" t="n">
        <v>1.51599741</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(3052.0/B11*100)</f>
        <v/>
      </c>
      <c r="D11" s="19" t="n">
        <v>448</v>
      </c>
      <c r="E11" s="18" t="n">
        <v>93.61903556999999</v>
      </c>
      <c r="F11" s="20" t="n">
        <v>1.33619394</v>
      </c>
      <c r="G11" s="18" t="n">
        <v>0.15939931</v>
      </c>
      <c r="H11" s="20" t="n">
        <v>0.12343232</v>
      </c>
      <c r="I11" s="18" t="s">
        <v>349</v>
      </c>
      <c r="J11" s="20" t="s">
        <v>349</v>
      </c>
      <c r="K11" s="18" t="n">
        <v>0.52666945</v>
      </c>
      <c r="L11" s="20" t="n">
        <v>0.39990721</v>
      </c>
      <c r="M11" s="18" t="n">
        <v>0</v>
      </c>
      <c r="N11" s="20" t="n">
        <v>0</v>
      </c>
      <c r="O11" s="18" t="n">
        <v>0</v>
      </c>
      <c r="P11" s="20" t="n">
        <v>0</v>
      </c>
      <c r="Q11" s="18" t="n">
        <v>5.69489567</v>
      </c>
      <c r="R11" s="20" t="n">
        <v>1.23855375</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(3357.0/B28*100)</f>
        <v/>
      </c>
      <c r="D28" s="19" t="n">
        <v>446</v>
      </c>
      <c r="E28" s="18" t="n">
        <v>91.19488680000001</v>
      </c>
      <c r="F28" s="20" t="n">
        <v>1.38756242</v>
      </c>
      <c r="G28" s="18" t="n">
        <v>5.18558874</v>
      </c>
      <c r="H28" s="20" t="n">
        <v>1.17529626</v>
      </c>
      <c r="I28" s="18" t="s">
        <v>349</v>
      </c>
      <c r="J28" s="20" t="s">
        <v>349</v>
      </c>
      <c r="K28" s="18" t="n">
        <v>0.24328165</v>
      </c>
      <c r="L28" s="20" t="n">
        <v>0.24350879</v>
      </c>
      <c r="M28" s="18" t="n">
        <v>0</v>
      </c>
      <c r="N28" s="20" t="n">
        <v>0</v>
      </c>
      <c r="O28" s="18" t="n">
        <v>0</v>
      </c>
      <c r="P28" s="20" t="n">
        <v>0</v>
      </c>
      <c r="Q28" s="18" t="n">
        <v>3.37624281</v>
      </c>
      <c r="R28" s="20" t="n">
        <v>0.91132918</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(10668.0/B46*100)</f>
        <v/>
      </c>
      <c r="D46" s="19" t="n">
        <v>1405</v>
      </c>
      <c r="E46" s="18" t="n">
        <v>88.24637727</v>
      </c>
      <c r="F46" s="20" t="n">
        <v>0.91443865</v>
      </c>
      <c r="G46" s="18" t="n">
        <v>3.09075118</v>
      </c>
      <c r="H46" s="20" t="n">
        <v>0.61367417</v>
      </c>
      <c r="I46" s="18" t="s">
        <v>349</v>
      </c>
      <c r="J46" s="20" t="s">
        <v>349</v>
      </c>
      <c r="K46" s="18" t="n">
        <v>0.42477328</v>
      </c>
      <c r="L46" s="20" t="n">
        <v>0.2219426</v>
      </c>
      <c r="M46" s="18" t="n">
        <v>0</v>
      </c>
      <c r="N46" s="20" t="n">
        <v>0</v>
      </c>
      <c r="O46" s="18" t="n">
        <v>0</v>
      </c>
      <c r="P46" s="20" t="n">
        <v>0</v>
      </c>
      <c r="Q46" s="18" t="n">
        <v>8.238098259999999</v>
      </c>
      <c r="R46" s="20" t="n">
        <v>0.85887551</v>
      </c>
    </row>
    <row r="47" spans="1:18">
      <c r="A47" s="15" t="s">
        <v>389</v>
      </c>
      <c r="B47" s="17" t="n">
        <v>2823</v>
      </c>
      <c r="C47" s="18">
        <f>(2477.0/B47*100)</f>
        <v/>
      </c>
      <c r="D47" s="19" t="n">
        <v>346</v>
      </c>
      <c r="E47" s="18" t="n">
        <v>81.11377457</v>
      </c>
      <c r="F47" s="20" t="n">
        <v>2.13422483</v>
      </c>
      <c r="G47" s="18" t="n">
        <v>12.17696333</v>
      </c>
      <c r="H47" s="20" t="n">
        <v>2.01985851</v>
      </c>
      <c r="I47" s="18" t="s">
        <v>349</v>
      </c>
      <c r="J47" s="20" t="s">
        <v>349</v>
      </c>
      <c r="K47" s="18" t="n">
        <v>0.31857071</v>
      </c>
      <c r="L47" s="20" t="n">
        <v>0.34608458</v>
      </c>
      <c r="M47" s="18" t="n">
        <v>0</v>
      </c>
      <c r="N47" s="20" t="n">
        <v>0</v>
      </c>
      <c r="O47" s="18" t="n">
        <v>0</v>
      </c>
      <c r="P47" s="20" t="n">
        <v>0</v>
      </c>
      <c r="Q47" s="18" t="n">
        <v>6.39069139</v>
      </c>
      <c r="R47" s="20" t="n">
        <v>1.27177503</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(5426.0/B50*100)</f>
        <v/>
      </c>
      <c r="D50" s="19" t="n">
        <v>732</v>
      </c>
      <c r="E50" s="18" t="n">
        <v>92.9413648</v>
      </c>
      <c r="F50" s="20" t="n">
        <v>1.35933058</v>
      </c>
      <c r="G50" s="18" t="n">
        <v>4.01008725</v>
      </c>
      <c r="H50" s="20" t="n">
        <v>0.9948261900000001</v>
      </c>
      <c r="I50" s="18" t="s">
        <v>349</v>
      </c>
      <c r="J50" s="20" t="s">
        <v>349</v>
      </c>
      <c r="K50" s="18" t="n">
        <v>0.60778602</v>
      </c>
      <c r="L50" s="20" t="n">
        <v>0.61762795</v>
      </c>
      <c r="M50" s="18" t="n">
        <v>0</v>
      </c>
      <c r="N50" s="20" t="n">
        <v>0</v>
      </c>
      <c r="O50" s="18" t="n">
        <v>0</v>
      </c>
      <c r="P50" s="20" t="n">
        <v>0</v>
      </c>
      <c r="Q50" s="18" t="n">
        <v>2.44076194</v>
      </c>
      <c r="R50" s="20" t="n">
        <v>0.73381197</v>
      </c>
    </row>
    <row r="51" spans="1:18">
      <c r="A51" s="15" t="s">
        <v>393</v>
      </c>
      <c r="B51" s="17" t="n">
        <v>3494</v>
      </c>
      <c r="C51" s="18">
        <f>(3101.0/B51*100)</f>
        <v/>
      </c>
      <c r="D51" s="19" t="n">
        <v>393</v>
      </c>
      <c r="E51" s="18" t="n">
        <v>93.02663198</v>
      </c>
      <c r="F51" s="20" t="n">
        <v>1.71979837</v>
      </c>
      <c r="G51" s="18" t="n">
        <v>3.84560544</v>
      </c>
      <c r="H51" s="20" t="n">
        <v>1.32157384</v>
      </c>
      <c r="I51" s="18" t="s">
        <v>349</v>
      </c>
      <c r="J51" s="20" t="s">
        <v>349</v>
      </c>
      <c r="K51" s="18" t="n">
        <v>0.34576112</v>
      </c>
      <c r="L51" s="20" t="n">
        <v>0.34524093</v>
      </c>
      <c r="M51" s="18" t="n">
        <v>0</v>
      </c>
      <c r="N51" s="20" t="n">
        <v>0</v>
      </c>
      <c r="O51" s="18" t="n">
        <v>0</v>
      </c>
      <c r="P51" s="20" t="n">
        <v>0</v>
      </c>
      <c r="Q51" s="18" t="n">
        <v>2.78200145</v>
      </c>
      <c r="R51" s="20" t="n">
        <v>0.93551685</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(2420.0/B53*100)</f>
        <v/>
      </c>
      <c r="D53" s="19" t="n">
        <v>340</v>
      </c>
      <c r="E53" s="18" t="n">
        <v>86.32823285000001</v>
      </c>
      <c r="F53" s="20" t="n">
        <v>2.035775</v>
      </c>
      <c r="G53" s="18" t="n">
        <v>9.15906644</v>
      </c>
      <c r="H53" s="20" t="n">
        <v>1.77315589</v>
      </c>
      <c r="I53" s="18" t="s">
        <v>349</v>
      </c>
      <c r="J53" s="20" t="s">
        <v>349</v>
      </c>
      <c r="K53" s="18" t="n">
        <v>0.21710137</v>
      </c>
      <c r="L53" s="20" t="n">
        <v>0.21819496</v>
      </c>
      <c r="M53" s="18" t="n">
        <v>0</v>
      </c>
      <c r="N53" s="20" t="n">
        <v>0</v>
      </c>
      <c r="O53" s="18" t="n">
        <v>0</v>
      </c>
      <c r="P53" s="20" t="n">
        <v>0</v>
      </c>
      <c r="Q53" s="18" t="n">
        <v>4.29559934</v>
      </c>
      <c r="R53" s="20" t="n">
        <v>0.99314012</v>
      </c>
    </row>
    <row r="54" spans="1:18">
      <c r="A54" s="15" t="s">
        <v>396</v>
      </c>
      <c r="B54" s="17" t="n">
        <v>2474</v>
      </c>
      <c r="C54" s="18">
        <f>(2048.0/B54*100)</f>
        <v/>
      </c>
      <c r="D54" s="19" t="n">
        <v>426</v>
      </c>
      <c r="E54" s="18" t="n">
        <v>87.63240311</v>
      </c>
      <c r="F54" s="20" t="n">
        <v>1.60955325</v>
      </c>
      <c r="G54" s="18" t="n">
        <v>0.23995088</v>
      </c>
      <c r="H54" s="20" t="n">
        <v>0.23859249</v>
      </c>
      <c r="I54" s="18" t="s">
        <v>349</v>
      </c>
      <c r="J54" s="20" t="s">
        <v>349</v>
      </c>
      <c r="K54" s="18" t="n">
        <v>2.61526104</v>
      </c>
      <c r="L54" s="20" t="n">
        <v>0.91691198</v>
      </c>
      <c r="M54" s="18" t="n">
        <v>0</v>
      </c>
      <c r="N54" s="20" t="n">
        <v>0</v>
      </c>
      <c r="O54" s="18" t="n">
        <v>0</v>
      </c>
      <c r="P54" s="20" t="n">
        <v>0</v>
      </c>
      <c r="Q54" s="18" t="n">
        <v>9.51238498</v>
      </c>
      <c r="R54" s="20" t="n">
        <v>1.51340446</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(3046.0/B67*100)</f>
        <v/>
      </c>
      <c r="D67" s="19" t="n">
        <v>414</v>
      </c>
      <c r="E67" s="18" t="n">
        <v>85.43260234</v>
      </c>
      <c r="F67" s="20" t="n">
        <v>1.84114032</v>
      </c>
      <c r="G67" s="18" t="n">
        <v>5.84073277</v>
      </c>
      <c r="H67" s="20" t="n">
        <v>1.21333604</v>
      </c>
      <c r="I67" s="18" t="s">
        <v>349</v>
      </c>
      <c r="J67" s="20" t="s">
        <v>349</v>
      </c>
      <c r="K67" s="18" t="n">
        <v>0.51492578</v>
      </c>
      <c r="L67" s="20" t="n">
        <v>0.37870691</v>
      </c>
      <c r="M67" s="18" t="n">
        <v>0</v>
      </c>
      <c r="N67" s="20" t="n">
        <v>0</v>
      </c>
      <c r="O67" s="18" t="n">
        <v>0</v>
      </c>
      <c r="P67" s="20" t="n">
        <v>0</v>
      </c>
      <c r="Q67" s="18" t="n">
        <v>8.21173911</v>
      </c>
      <c r="R67" s="20" t="n">
        <v>1.52991634</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(2612.0/B75*100)</f>
        <v/>
      </c>
      <c r="D75" s="19" t="n">
        <v>357</v>
      </c>
      <c r="E75" s="18" t="n">
        <v>90.2942012</v>
      </c>
      <c r="F75" s="20" t="n">
        <v>1.63824199</v>
      </c>
      <c r="G75" s="18" t="n">
        <v>3.0255159</v>
      </c>
      <c r="H75" s="20" t="n">
        <v>0.86485645</v>
      </c>
      <c r="I75" s="18" t="s">
        <v>349</v>
      </c>
      <c r="J75" s="20" t="s">
        <v>349</v>
      </c>
      <c r="K75" s="18" t="n">
        <v>0.96250343</v>
      </c>
      <c r="L75" s="20" t="n">
        <v>0.524268</v>
      </c>
      <c r="M75" s="18" t="n">
        <v>0</v>
      </c>
      <c r="N75" s="20" t="n">
        <v>0</v>
      </c>
      <c r="O75" s="18" t="n">
        <v>0</v>
      </c>
      <c r="P75" s="20" t="n">
        <v>0</v>
      </c>
      <c r="Q75" s="18" t="n">
        <v>5.71777946</v>
      </c>
      <c r="R75" s="20" t="n">
        <v>1.27390537</v>
      </c>
    </row>
    <row r="76" spans="1:18">
      <c r="A76" s="15" t="s">
        <v>418</v>
      </c>
      <c r="B76" s="17" t="n">
        <v>7115</v>
      </c>
      <c r="C76" s="18">
        <f>(6238.0/B76*100)</f>
        <v/>
      </c>
      <c r="D76" s="19" t="n">
        <v>877</v>
      </c>
      <c r="E76" s="18" t="n">
        <v>88.07951697</v>
      </c>
      <c r="F76" s="20" t="n">
        <v>1.52443703</v>
      </c>
      <c r="G76" s="18" t="n">
        <v>9.808603250000001</v>
      </c>
      <c r="H76" s="20" t="n">
        <v>1.51553559</v>
      </c>
      <c r="I76" s="18" t="s">
        <v>349</v>
      </c>
      <c r="J76" s="20" t="s">
        <v>349</v>
      </c>
      <c r="K76" s="18" t="n">
        <v>0.07139255999999999</v>
      </c>
      <c r="L76" s="20" t="n">
        <v>0.07188313</v>
      </c>
      <c r="M76" s="18" t="n">
        <v>0</v>
      </c>
      <c r="N76" s="20" t="n">
        <v>0</v>
      </c>
      <c r="O76" s="18" t="n">
        <v>0</v>
      </c>
      <c r="P76" s="20" t="n">
        <v>0</v>
      </c>
      <c r="Q76" s="18" t="n">
        <v>2.04048722</v>
      </c>
      <c r="R76" s="20" t="n">
        <v>0.53931841</v>
      </c>
    </row>
    <row r="77" spans="1:18">
      <c r="A77" s="15" t="s">
        <v>419</v>
      </c>
      <c r="B77" s="17" t="n">
        <v>3154</v>
      </c>
      <c r="C77" s="18">
        <f>(2774.0/B77*100)</f>
        <v/>
      </c>
      <c r="D77" s="19" t="n">
        <v>380</v>
      </c>
      <c r="E77" s="18" t="n">
        <v>85.52439593</v>
      </c>
      <c r="F77" s="20" t="n">
        <v>1.77584128</v>
      </c>
      <c r="G77" s="18" t="n">
        <v>6.38926036</v>
      </c>
      <c r="H77" s="20" t="n">
        <v>1.4061787</v>
      </c>
      <c r="I77" s="18" t="s">
        <v>349</v>
      </c>
      <c r="J77" s="20" t="s">
        <v>349</v>
      </c>
      <c r="K77" s="18" t="n">
        <v>0</v>
      </c>
      <c r="L77" s="20" t="n">
        <v>0</v>
      </c>
      <c r="M77" s="18" t="n">
        <v>0</v>
      </c>
      <c r="N77" s="20" t="n">
        <v>0</v>
      </c>
      <c r="O77" s="18" t="n">
        <v>0</v>
      </c>
      <c r="P77" s="20" t="n">
        <v>0</v>
      </c>
      <c r="Q77" s="18" t="n">
        <v>8.08634371</v>
      </c>
      <c r="R77" s="20" t="n">
        <v>1.44375842</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(3052.0/B11*100)</f>
        <v/>
      </c>
      <c r="D11" s="19" t="n">
        <v>448</v>
      </c>
      <c r="E11" s="18" t="n">
        <v>50.39875571</v>
      </c>
      <c r="F11" s="20" t="n">
        <v>3.26134275</v>
      </c>
      <c r="G11" s="18" t="n">
        <v>33.6002117</v>
      </c>
      <c r="H11" s="20" t="n">
        <v>2.77965887</v>
      </c>
      <c r="I11" s="18" t="s">
        <v>349</v>
      </c>
      <c r="J11" s="20" t="s">
        <v>349</v>
      </c>
      <c r="K11" s="18" t="n">
        <v>0.52666945</v>
      </c>
      <c r="L11" s="20" t="n">
        <v>0.39990721</v>
      </c>
      <c r="M11" s="18" t="n">
        <v>0</v>
      </c>
      <c r="N11" s="20" t="n">
        <v>0</v>
      </c>
      <c r="O11" s="18" t="n">
        <v>0</v>
      </c>
      <c r="P11" s="20" t="n">
        <v>0</v>
      </c>
      <c r="Q11" s="18" t="n">
        <v>15.47436314</v>
      </c>
      <c r="R11" s="20" t="n">
        <v>1.99762129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(3358.0/B28*100)</f>
        <v/>
      </c>
      <c r="D28" s="19" t="n">
        <v>445</v>
      </c>
      <c r="E28" s="18" t="n">
        <v>65.57095957</v>
      </c>
      <c r="F28" s="20" t="n">
        <v>2.75084036</v>
      </c>
      <c r="G28" s="18" t="n">
        <v>29.37193136</v>
      </c>
      <c r="H28" s="20" t="n">
        <v>2.68265071</v>
      </c>
      <c r="I28" s="18" t="s">
        <v>349</v>
      </c>
      <c r="J28" s="20" t="s">
        <v>349</v>
      </c>
      <c r="K28" s="18" t="n">
        <v>0.24433698</v>
      </c>
      <c r="L28" s="20" t="n">
        <v>0.2446364</v>
      </c>
      <c r="M28" s="18" t="n">
        <v>0</v>
      </c>
      <c r="N28" s="20" t="n">
        <v>0</v>
      </c>
      <c r="O28" s="18" t="n">
        <v>0</v>
      </c>
      <c r="P28" s="20" t="n">
        <v>0</v>
      </c>
      <c r="Q28" s="18" t="n">
        <v>4.81277208</v>
      </c>
      <c r="R28" s="20" t="n">
        <v>1.12956661</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(10691.0/B46*100)</f>
        <v/>
      </c>
      <c r="D46" s="19" t="n">
        <v>1382</v>
      </c>
      <c r="E46" s="18" t="n">
        <v>72.17537455</v>
      </c>
      <c r="F46" s="20" t="n">
        <v>1.45565977</v>
      </c>
      <c r="G46" s="18" t="n">
        <v>16.96833604</v>
      </c>
      <c r="H46" s="20" t="n">
        <v>1.33075859</v>
      </c>
      <c r="I46" s="18" t="s">
        <v>349</v>
      </c>
      <c r="J46" s="20" t="s">
        <v>349</v>
      </c>
      <c r="K46" s="18" t="n">
        <v>0.60254244</v>
      </c>
      <c r="L46" s="20" t="n">
        <v>0.29046648</v>
      </c>
      <c r="M46" s="18" t="n">
        <v>0</v>
      </c>
      <c r="N46" s="20" t="n">
        <v>0</v>
      </c>
      <c r="O46" s="18" t="n">
        <v>0</v>
      </c>
      <c r="P46" s="20" t="n">
        <v>0</v>
      </c>
      <c r="Q46" s="18" t="n">
        <v>10.25374697</v>
      </c>
      <c r="R46" s="20" t="n">
        <v>0.85310513</v>
      </c>
    </row>
    <row r="47" spans="1:18">
      <c r="A47" s="15" t="s">
        <v>389</v>
      </c>
      <c r="B47" s="17" t="n">
        <v>2823</v>
      </c>
      <c r="C47" s="18">
        <f>(2477.0/B47*100)</f>
        <v/>
      </c>
      <c r="D47" s="19" t="n">
        <v>346</v>
      </c>
      <c r="E47" s="18" t="n">
        <v>36.82034699</v>
      </c>
      <c r="F47" s="20" t="n">
        <v>2.76151789</v>
      </c>
      <c r="G47" s="18" t="n">
        <v>54.10619563</v>
      </c>
      <c r="H47" s="20" t="n">
        <v>2.98390197</v>
      </c>
      <c r="I47" s="18" t="s">
        <v>349</v>
      </c>
      <c r="J47" s="20" t="s">
        <v>349</v>
      </c>
      <c r="K47" s="18" t="n">
        <v>0.31857071</v>
      </c>
      <c r="L47" s="20" t="n">
        <v>0.34608458</v>
      </c>
      <c r="M47" s="18" t="n">
        <v>0</v>
      </c>
      <c r="N47" s="20" t="n">
        <v>0</v>
      </c>
      <c r="O47" s="18" t="n">
        <v>0</v>
      </c>
      <c r="P47" s="20" t="n">
        <v>0</v>
      </c>
      <c r="Q47" s="18" t="n">
        <v>8.75488668</v>
      </c>
      <c r="R47" s="20" t="n">
        <v>1.57584767</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(5427.0/B50*100)</f>
        <v/>
      </c>
      <c r="D50" s="19" t="n">
        <v>731</v>
      </c>
      <c r="E50" s="18" t="n">
        <v>72.98901082</v>
      </c>
      <c r="F50" s="20" t="n">
        <v>2.04101487</v>
      </c>
      <c r="G50" s="18" t="n">
        <v>22.74516039</v>
      </c>
      <c r="H50" s="20" t="n">
        <v>1.81975164</v>
      </c>
      <c r="I50" s="18" t="s">
        <v>349</v>
      </c>
      <c r="J50" s="20" t="s">
        <v>349</v>
      </c>
      <c r="K50" s="18" t="n">
        <v>0.85449708</v>
      </c>
      <c r="L50" s="20" t="n">
        <v>0.65297432</v>
      </c>
      <c r="M50" s="18" t="n">
        <v>0</v>
      </c>
      <c r="N50" s="20" t="n">
        <v>0</v>
      </c>
      <c r="O50" s="18" t="n">
        <v>0</v>
      </c>
      <c r="P50" s="20" t="n">
        <v>0</v>
      </c>
      <c r="Q50" s="18" t="n">
        <v>3.41133171</v>
      </c>
      <c r="R50" s="20" t="n">
        <v>0.77846444</v>
      </c>
    </row>
    <row r="51" spans="1:18">
      <c r="A51" s="15" t="s">
        <v>393</v>
      </c>
      <c r="B51" s="17" t="n">
        <v>3494</v>
      </c>
      <c r="C51" s="18">
        <f>(3103.0/B51*100)</f>
        <v/>
      </c>
      <c r="D51" s="19" t="n">
        <v>391</v>
      </c>
      <c r="E51" s="18" t="n">
        <v>62.01771445</v>
      </c>
      <c r="F51" s="20" t="n">
        <v>2.86882317</v>
      </c>
      <c r="G51" s="18" t="n">
        <v>32.16416435</v>
      </c>
      <c r="H51" s="20" t="n">
        <v>2.62032718</v>
      </c>
      <c r="I51" s="18" t="s">
        <v>349</v>
      </c>
      <c r="J51" s="20" t="s">
        <v>349</v>
      </c>
      <c r="K51" s="18" t="n">
        <v>0.34697042</v>
      </c>
      <c r="L51" s="20" t="n">
        <v>0.3464706</v>
      </c>
      <c r="M51" s="18" t="n">
        <v>0</v>
      </c>
      <c r="N51" s="20" t="n">
        <v>0</v>
      </c>
      <c r="O51" s="18" t="n">
        <v>0</v>
      </c>
      <c r="P51" s="20" t="n">
        <v>0</v>
      </c>
      <c r="Q51" s="18" t="n">
        <v>5.47115079</v>
      </c>
      <c r="R51" s="20" t="n">
        <v>1.35671212</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(2420.0/B53*100)</f>
        <v/>
      </c>
      <c r="D53" s="19" t="n">
        <v>340</v>
      </c>
      <c r="E53" s="18" t="n">
        <v>40.45304736</v>
      </c>
      <c r="F53" s="20" t="n">
        <v>2.91993138</v>
      </c>
      <c r="G53" s="18" t="n">
        <v>48.23504847</v>
      </c>
      <c r="H53" s="20" t="n">
        <v>3.11427904</v>
      </c>
      <c r="I53" s="18" t="s">
        <v>349</v>
      </c>
      <c r="J53" s="20" t="s">
        <v>349</v>
      </c>
      <c r="K53" s="18" t="n">
        <v>0.54334686</v>
      </c>
      <c r="L53" s="20" t="n">
        <v>0.39070148</v>
      </c>
      <c r="M53" s="18" t="n">
        <v>0</v>
      </c>
      <c r="N53" s="20" t="n">
        <v>0</v>
      </c>
      <c r="O53" s="18" t="n">
        <v>0</v>
      </c>
      <c r="P53" s="20" t="n">
        <v>0</v>
      </c>
      <c r="Q53" s="18" t="n">
        <v>10.76855731</v>
      </c>
      <c r="R53" s="20" t="n">
        <v>1.67015843</v>
      </c>
    </row>
    <row r="54" spans="1:18">
      <c r="A54" s="15" t="s">
        <v>396</v>
      </c>
      <c r="B54" s="17" t="n">
        <v>2474</v>
      </c>
      <c r="C54" s="18">
        <f>(2049.0/B54*100)</f>
        <v/>
      </c>
      <c r="D54" s="19" t="n">
        <v>425</v>
      </c>
      <c r="E54" s="18" t="n">
        <v>77.21750565000001</v>
      </c>
      <c r="F54" s="20" t="n">
        <v>2.53219876</v>
      </c>
      <c r="G54" s="18" t="n">
        <v>11.09973451</v>
      </c>
      <c r="H54" s="20" t="n">
        <v>1.76663951</v>
      </c>
      <c r="I54" s="18" t="s">
        <v>349</v>
      </c>
      <c r="J54" s="20" t="s">
        <v>349</v>
      </c>
      <c r="K54" s="18" t="n">
        <v>3.3742251</v>
      </c>
      <c r="L54" s="20" t="n">
        <v>1.01826746</v>
      </c>
      <c r="M54" s="18" t="n">
        <v>0</v>
      </c>
      <c r="N54" s="20" t="n">
        <v>0</v>
      </c>
      <c r="O54" s="18" t="n">
        <v>0</v>
      </c>
      <c r="P54" s="20" t="n">
        <v>0</v>
      </c>
      <c r="Q54" s="18" t="n">
        <v>8.308534740000001</v>
      </c>
      <c r="R54" s="20" t="n">
        <v>1.40050797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(3049.0/B67*100)</f>
        <v/>
      </c>
      <c r="D67" s="19" t="n">
        <v>411</v>
      </c>
      <c r="E67" s="18" t="n">
        <v>55.40192961</v>
      </c>
      <c r="F67" s="20" t="n">
        <v>2.83360717</v>
      </c>
      <c r="G67" s="18" t="n">
        <v>38.11386637</v>
      </c>
      <c r="H67" s="20" t="n">
        <v>2.63206266</v>
      </c>
      <c r="I67" s="18" t="s">
        <v>349</v>
      </c>
      <c r="J67" s="20" t="s">
        <v>349</v>
      </c>
      <c r="K67" s="18" t="n">
        <v>0.51853248</v>
      </c>
      <c r="L67" s="20" t="n">
        <v>0.3813844</v>
      </c>
      <c r="M67" s="18" t="n">
        <v>0</v>
      </c>
      <c r="N67" s="20" t="n">
        <v>0</v>
      </c>
      <c r="O67" s="18" t="n">
        <v>0</v>
      </c>
      <c r="P67" s="20" t="n">
        <v>0</v>
      </c>
      <c r="Q67" s="18" t="n">
        <v>5.96567154</v>
      </c>
      <c r="R67" s="20" t="n">
        <v>1.1504257</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(2612.0/B75*100)</f>
        <v/>
      </c>
      <c r="D75" s="19" t="n">
        <v>357</v>
      </c>
      <c r="E75" s="18" t="n">
        <v>60.90853393</v>
      </c>
      <c r="F75" s="20" t="n">
        <v>2.67489533</v>
      </c>
      <c r="G75" s="18" t="n">
        <v>25.21918488</v>
      </c>
      <c r="H75" s="20" t="n">
        <v>2.39063825</v>
      </c>
      <c r="I75" s="18" t="s">
        <v>349</v>
      </c>
      <c r="J75" s="20" t="s">
        <v>349</v>
      </c>
      <c r="K75" s="18" t="n">
        <v>2.11446742</v>
      </c>
      <c r="L75" s="20" t="n">
        <v>0.77701615</v>
      </c>
      <c r="M75" s="18" t="n">
        <v>0</v>
      </c>
      <c r="N75" s="20" t="n">
        <v>0</v>
      </c>
      <c r="O75" s="18" t="n">
        <v>0</v>
      </c>
      <c r="P75" s="20" t="n">
        <v>0</v>
      </c>
      <c r="Q75" s="18" t="n">
        <v>11.75781377</v>
      </c>
      <c r="R75" s="20" t="n">
        <v>1.81398113</v>
      </c>
    </row>
    <row r="76" spans="1:18">
      <c r="A76" s="15" t="s">
        <v>418</v>
      </c>
      <c r="B76" s="17" t="n">
        <v>7115</v>
      </c>
      <c r="C76" s="18">
        <f>(6237.0/B76*100)</f>
        <v/>
      </c>
      <c r="D76" s="19" t="n">
        <v>878</v>
      </c>
      <c r="E76" s="18" t="n">
        <v>7.04966571</v>
      </c>
      <c r="F76" s="20" t="n">
        <v>1.26495796</v>
      </c>
      <c r="G76" s="18" t="n">
        <v>35.01547208</v>
      </c>
      <c r="H76" s="20" t="n">
        <v>2.56677755</v>
      </c>
      <c r="I76" s="18" t="s">
        <v>349</v>
      </c>
      <c r="J76" s="20" t="s">
        <v>349</v>
      </c>
      <c r="K76" s="18" t="n">
        <v>0</v>
      </c>
      <c r="L76" s="20" t="n">
        <v>0</v>
      </c>
      <c r="M76" s="18" t="n">
        <v>56.74378379</v>
      </c>
      <c r="N76" s="20" t="n">
        <v>2.52432464</v>
      </c>
      <c r="O76" s="18" t="n">
        <v>0</v>
      </c>
      <c r="P76" s="20" t="n">
        <v>0</v>
      </c>
      <c r="Q76" s="18" t="n">
        <v>1.19107843</v>
      </c>
      <c r="R76" s="20" t="n">
        <v>0.45793642</v>
      </c>
    </row>
    <row r="77" spans="1:18">
      <c r="A77" s="15" t="s">
        <v>419</v>
      </c>
      <c r="B77" s="17" t="n">
        <v>3154</v>
      </c>
      <c r="C77" s="18">
        <f>(2774.0/B77*100)</f>
        <v/>
      </c>
      <c r="D77" s="19" t="n">
        <v>380</v>
      </c>
      <c r="E77" s="18" t="n">
        <v>58.14202411</v>
      </c>
      <c r="F77" s="20" t="n">
        <v>2.53076048</v>
      </c>
      <c r="G77" s="18" t="n">
        <v>22.51427146</v>
      </c>
      <c r="H77" s="20" t="n">
        <v>2.19128263</v>
      </c>
      <c r="I77" s="18" t="s">
        <v>349</v>
      </c>
      <c r="J77" s="20" t="s">
        <v>349</v>
      </c>
      <c r="K77" s="18" t="n">
        <v>0.10421904</v>
      </c>
      <c r="L77" s="20" t="n">
        <v>0.10481829</v>
      </c>
      <c r="M77" s="18" t="n">
        <v>0</v>
      </c>
      <c r="N77" s="20" t="n">
        <v>0</v>
      </c>
      <c r="O77" s="18" t="n">
        <v>0</v>
      </c>
      <c r="P77" s="20" t="n">
        <v>0</v>
      </c>
      <c r="Q77" s="18" t="n">
        <v>19.23948539</v>
      </c>
      <c r="R77" s="20" t="n">
        <v>2.16940317</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(3054.0/B11*100)</f>
        <v/>
      </c>
      <c r="D11" s="19" t="n">
        <v>446</v>
      </c>
      <c r="E11" s="18" t="n">
        <v>41.92689394</v>
      </c>
      <c r="F11" s="20" t="n">
        <v>2.90289679</v>
      </c>
      <c r="G11" s="18" t="n">
        <v>26.36308097</v>
      </c>
      <c r="H11" s="20" t="n">
        <v>2.4192586</v>
      </c>
      <c r="I11" s="18" t="s">
        <v>349</v>
      </c>
      <c r="J11" s="20" t="s">
        <v>349</v>
      </c>
      <c r="K11" s="18" t="n">
        <v>0.52813617</v>
      </c>
      <c r="L11" s="20" t="n">
        <v>0.4010281</v>
      </c>
      <c r="M11" s="18" t="n">
        <v>0</v>
      </c>
      <c r="N11" s="20" t="n">
        <v>0</v>
      </c>
      <c r="O11" s="18" t="n">
        <v>0</v>
      </c>
      <c r="P11" s="20" t="n">
        <v>0</v>
      </c>
      <c r="Q11" s="18" t="n">
        <v>31.18188892</v>
      </c>
      <c r="R11" s="20" t="n">
        <v>2.40160356</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(3361.0/B28*100)</f>
        <v/>
      </c>
      <c r="D28" s="19" t="n">
        <v>442</v>
      </c>
      <c r="E28" s="18" t="n">
        <v>67.50329297</v>
      </c>
      <c r="F28" s="20" t="n">
        <v>2.45402167</v>
      </c>
      <c r="G28" s="18" t="n">
        <v>17.41963763</v>
      </c>
      <c r="H28" s="20" t="n">
        <v>1.7337029</v>
      </c>
      <c r="I28" s="18" t="s">
        <v>349</v>
      </c>
      <c r="J28" s="20" t="s">
        <v>349</v>
      </c>
      <c r="K28" s="18" t="n">
        <v>0.38487625</v>
      </c>
      <c r="L28" s="20" t="n">
        <v>0.28186461</v>
      </c>
      <c r="M28" s="18" t="n">
        <v>0</v>
      </c>
      <c r="N28" s="20" t="n">
        <v>0</v>
      </c>
      <c r="O28" s="18" t="n">
        <v>0</v>
      </c>
      <c r="P28" s="20" t="n">
        <v>0</v>
      </c>
      <c r="Q28" s="18" t="n">
        <v>14.69219315</v>
      </c>
      <c r="R28" s="20" t="n">
        <v>2.03397699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(10706.0/B46*100)</f>
        <v/>
      </c>
      <c r="D46" s="19" t="n">
        <v>1367</v>
      </c>
      <c r="E46" s="18" t="n">
        <v>54.41301785</v>
      </c>
      <c r="F46" s="20" t="n">
        <v>1.69025341</v>
      </c>
      <c r="G46" s="18" t="n">
        <v>14.47171065</v>
      </c>
      <c r="H46" s="20" t="n">
        <v>1.21274323</v>
      </c>
      <c r="I46" s="18" t="s">
        <v>349</v>
      </c>
      <c r="J46" s="20" t="s">
        <v>349</v>
      </c>
      <c r="K46" s="18" t="n">
        <v>0.83427182</v>
      </c>
      <c r="L46" s="20" t="n">
        <v>0.33374671</v>
      </c>
      <c r="M46" s="18" t="n">
        <v>0.04359538</v>
      </c>
      <c r="N46" s="20" t="n">
        <v>0.04135668</v>
      </c>
      <c r="O46" s="18" t="n">
        <v>0</v>
      </c>
      <c r="P46" s="20" t="n">
        <v>0</v>
      </c>
      <c r="Q46" s="18" t="n">
        <v>30.2374043</v>
      </c>
      <c r="R46" s="20" t="n">
        <v>1.75899501</v>
      </c>
    </row>
    <row r="47" spans="1:18">
      <c r="A47" s="15" t="s">
        <v>389</v>
      </c>
      <c r="B47" s="17" t="n">
        <v>2823</v>
      </c>
      <c r="C47" s="18">
        <f>(2477.0/B47*100)</f>
        <v/>
      </c>
      <c r="D47" s="19" t="n">
        <v>346</v>
      </c>
      <c r="E47" s="18" t="n">
        <v>34.91061575</v>
      </c>
      <c r="F47" s="20" t="n">
        <v>2.71036744</v>
      </c>
      <c r="G47" s="18" t="n">
        <v>44.56604164</v>
      </c>
      <c r="H47" s="20" t="n">
        <v>3.03819622</v>
      </c>
      <c r="I47" s="18" t="s">
        <v>349</v>
      </c>
      <c r="J47" s="20" t="s">
        <v>349</v>
      </c>
      <c r="K47" s="18" t="n">
        <v>0.31857071</v>
      </c>
      <c r="L47" s="20" t="n">
        <v>0.34608458</v>
      </c>
      <c r="M47" s="18" t="n">
        <v>0</v>
      </c>
      <c r="N47" s="20" t="n">
        <v>0</v>
      </c>
      <c r="O47" s="18" t="n">
        <v>0</v>
      </c>
      <c r="P47" s="20" t="n">
        <v>0</v>
      </c>
      <c r="Q47" s="18" t="n">
        <v>20.20477191</v>
      </c>
      <c r="R47" s="20" t="n">
        <v>2.40982854</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(5428.0/B50*100)</f>
        <v/>
      </c>
      <c r="D50" s="19" t="n">
        <v>730</v>
      </c>
      <c r="E50" s="18" t="n">
        <v>65.43201231</v>
      </c>
      <c r="F50" s="20" t="n">
        <v>2.49374134</v>
      </c>
      <c r="G50" s="18" t="n">
        <v>19.51646319</v>
      </c>
      <c r="H50" s="20" t="n">
        <v>1.8767446</v>
      </c>
      <c r="I50" s="18" t="s">
        <v>349</v>
      </c>
      <c r="J50" s="20" t="s">
        <v>349</v>
      </c>
      <c r="K50" s="18" t="n">
        <v>1.11367058</v>
      </c>
      <c r="L50" s="20" t="n">
        <v>0.73602797</v>
      </c>
      <c r="M50" s="18" t="n">
        <v>0.53427065</v>
      </c>
      <c r="N50" s="20" t="n">
        <v>0.30421414</v>
      </c>
      <c r="O50" s="18" t="n">
        <v>0</v>
      </c>
      <c r="P50" s="20" t="n">
        <v>0</v>
      </c>
      <c r="Q50" s="18" t="n">
        <v>13.40358328</v>
      </c>
      <c r="R50" s="20" t="n">
        <v>1.78405651</v>
      </c>
    </row>
    <row r="51" spans="1:18">
      <c r="A51" s="15" t="s">
        <v>393</v>
      </c>
      <c r="B51" s="17" t="n">
        <v>3494</v>
      </c>
      <c r="C51" s="18">
        <f>(3110.0/B51*100)</f>
        <v/>
      </c>
      <c r="D51" s="19" t="n">
        <v>384</v>
      </c>
      <c r="E51" s="18" t="n">
        <v>58.75633053</v>
      </c>
      <c r="F51" s="20" t="n">
        <v>2.69933862</v>
      </c>
      <c r="G51" s="18" t="n">
        <v>18.8618459</v>
      </c>
      <c r="H51" s="20" t="n">
        <v>2.34499691</v>
      </c>
      <c r="I51" s="18" t="s">
        <v>349</v>
      </c>
      <c r="J51" s="20" t="s">
        <v>349</v>
      </c>
      <c r="K51" s="18" t="n">
        <v>0.35420437</v>
      </c>
      <c r="L51" s="20" t="n">
        <v>0.35366118</v>
      </c>
      <c r="M51" s="18" t="n">
        <v>0.29305471</v>
      </c>
      <c r="N51" s="20" t="n">
        <v>0.30304041</v>
      </c>
      <c r="O51" s="18" t="n">
        <v>0</v>
      </c>
      <c r="P51" s="20" t="n">
        <v>0</v>
      </c>
      <c r="Q51" s="18" t="n">
        <v>21.73456449</v>
      </c>
      <c r="R51" s="20" t="n">
        <v>2.15889907</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(2420.0/B53*100)</f>
        <v/>
      </c>
      <c r="D53" s="19" t="n">
        <v>340</v>
      </c>
      <c r="E53" s="18" t="n">
        <v>33.56992569</v>
      </c>
      <c r="F53" s="20" t="n">
        <v>2.63727666</v>
      </c>
      <c r="G53" s="18" t="n">
        <v>41.90762787</v>
      </c>
      <c r="H53" s="20" t="n">
        <v>2.9801106</v>
      </c>
      <c r="I53" s="18" t="s">
        <v>349</v>
      </c>
      <c r="J53" s="20" t="s">
        <v>349</v>
      </c>
      <c r="K53" s="18" t="n">
        <v>0.54334686</v>
      </c>
      <c r="L53" s="20" t="n">
        <v>0.39070148</v>
      </c>
      <c r="M53" s="18" t="n">
        <v>0</v>
      </c>
      <c r="N53" s="20" t="n">
        <v>0</v>
      </c>
      <c r="O53" s="18" t="n">
        <v>0</v>
      </c>
      <c r="P53" s="20" t="n">
        <v>0</v>
      </c>
      <c r="Q53" s="18" t="n">
        <v>23.97909959</v>
      </c>
      <c r="R53" s="20" t="n">
        <v>2.35183135</v>
      </c>
    </row>
    <row r="54" spans="1:18">
      <c r="A54" s="15" t="s">
        <v>396</v>
      </c>
      <c r="B54" s="17" t="n">
        <v>2474</v>
      </c>
      <c r="C54" s="18">
        <f>(2049.0/B54*100)</f>
        <v/>
      </c>
      <c r="D54" s="19" t="n">
        <v>425</v>
      </c>
      <c r="E54" s="18" t="n">
        <v>55.09088585</v>
      </c>
      <c r="F54" s="20" t="n">
        <v>2.89198484</v>
      </c>
      <c r="G54" s="18" t="n">
        <v>4.31995832</v>
      </c>
      <c r="H54" s="20" t="n">
        <v>1.28431378</v>
      </c>
      <c r="I54" s="18" t="s">
        <v>349</v>
      </c>
      <c r="J54" s="20" t="s">
        <v>349</v>
      </c>
      <c r="K54" s="18" t="n">
        <v>4.23714676</v>
      </c>
      <c r="L54" s="20" t="n">
        <v>1.21140561</v>
      </c>
      <c r="M54" s="18" t="n">
        <v>0</v>
      </c>
      <c r="N54" s="20" t="n">
        <v>0</v>
      </c>
      <c r="O54" s="18" t="n">
        <v>0</v>
      </c>
      <c r="P54" s="20" t="n">
        <v>0</v>
      </c>
      <c r="Q54" s="18" t="n">
        <v>36.35200908</v>
      </c>
      <c r="R54" s="20" t="n">
        <v>2.76065</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(3050.0/B67*100)</f>
        <v/>
      </c>
      <c r="D67" s="19" t="n">
        <v>410</v>
      </c>
      <c r="E67" s="18" t="n">
        <v>54.94224171</v>
      </c>
      <c r="F67" s="20" t="n">
        <v>3.08526854</v>
      </c>
      <c r="G67" s="18" t="n">
        <v>18.44038467</v>
      </c>
      <c r="H67" s="20" t="n">
        <v>2.05270398</v>
      </c>
      <c r="I67" s="18" t="s">
        <v>349</v>
      </c>
      <c r="J67" s="20" t="s">
        <v>349</v>
      </c>
      <c r="K67" s="18" t="n">
        <v>0.51979855</v>
      </c>
      <c r="L67" s="20" t="n">
        <v>0.38228547</v>
      </c>
      <c r="M67" s="18" t="n">
        <v>0</v>
      </c>
      <c r="N67" s="20" t="n">
        <v>0</v>
      </c>
      <c r="O67" s="18" t="n">
        <v>0</v>
      </c>
      <c r="P67" s="20" t="n">
        <v>0</v>
      </c>
      <c r="Q67" s="18" t="n">
        <v>26.09757507</v>
      </c>
      <c r="R67" s="20" t="n">
        <v>2.30725602</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(2613.0/B75*100)</f>
        <v/>
      </c>
      <c r="D75" s="19" t="n">
        <v>356</v>
      </c>
      <c r="E75" s="18" t="n">
        <v>44.53028683</v>
      </c>
      <c r="F75" s="20" t="n">
        <v>2.4816233</v>
      </c>
      <c r="G75" s="18" t="n">
        <v>27.3960862</v>
      </c>
      <c r="H75" s="20" t="n">
        <v>2.17742454</v>
      </c>
      <c r="I75" s="18" t="s">
        <v>349</v>
      </c>
      <c r="J75" s="20" t="s">
        <v>349</v>
      </c>
      <c r="K75" s="18" t="n">
        <v>2.36787884</v>
      </c>
      <c r="L75" s="20" t="n">
        <v>0.81808806</v>
      </c>
      <c r="M75" s="18" t="n">
        <v>0.25553891</v>
      </c>
      <c r="N75" s="20" t="n">
        <v>0.25639844</v>
      </c>
      <c r="O75" s="18" t="n">
        <v>0</v>
      </c>
      <c r="P75" s="20" t="n">
        <v>0</v>
      </c>
      <c r="Q75" s="18" t="n">
        <v>25.45020922</v>
      </c>
      <c r="R75" s="20" t="n">
        <v>2.55252931</v>
      </c>
    </row>
    <row r="76" spans="1:18">
      <c r="A76" s="15" t="s">
        <v>418</v>
      </c>
      <c r="B76" s="17" t="n">
        <v>7115</v>
      </c>
      <c r="C76" s="18">
        <f>(6237.0/B76*100)</f>
        <v/>
      </c>
      <c r="D76" s="19" t="n">
        <v>878</v>
      </c>
      <c r="E76" s="18" t="n">
        <v>48.5261273</v>
      </c>
      <c r="F76" s="20" t="n">
        <v>1.90321101</v>
      </c>
      <c r="G76" s="18" t="n">
        <v>43.26283021</v>
      </c>
      <c r="H76" s="20" t="n">
        <v>2.20636354</v>
      </c>
      <c r="I76" s="18" t="s">
        <v>349</v>
      </c>
      <c r="J76" s="20" t="s">
        <v>349</v>
      </c>
      <c r="K76" s="18" t="n">
        <v>0.0712827</v>
      </c>
      <c r="L76" s="20" t="n">
        <v>0.0717708</v>
      </c>
      <c r="M76" s="18" t="n">
        <v>0</v>
      </c>
      <c r="N76" s="20" t="n">
        <v>0</v>
      </c>
      <c r="O76" s="18" t="n">
        <v>0</v>
      </c>
      <c r="P76" s="20" t="n">
        <v>0</v>
      </c>
      <c r="Q76" s="18" t="n">
        <v>8.139759789999999</v>
      </c>
      <c r="R76" s="20" t="n">
        <v>1.50038453</v>
      </c>
    </row>
    <row r="77" spans="1:18">
      <c r="A77" s="15" t="s">
        <v>419</v>
      </c>
      <c r="B77" s="17" t="n">
        <v>3154</v>
      </c>
      <c r="C77" s="18">
        <f>(2774.0/B77*100)</f>
        <v/>
      </c>
      <c r="D77" s="19" t="n">
        <v>380</v>
      </c>
      <c r="E77" s="18" t="n">
        <v>32.29077346</v>
      </c>
      <c r="F77" s="20" t="n">
        <v>2.17893676</v>
      </c>
      <c r="G77" s="18" t="n">
        <v>20.79250501</v>
      </c>
      <c r="H77" s="20" t="n">
        <v>1.90300374</v>
      </c>
      <c r="I77" s="18" t="s">
        <v>349</v>
      </c>
      <c r="J77" s="20" t="s">
        <v>349</v>
      </c>
      <c r="K77" s="18" t="n">
        <v>0.10421904</v>
      </c>
      <c r="L77" s="20" t="n">
        <v>0.10481829</v>
      </c>
      <c r="M77" s="18" t="n">
        <v>2.38283421</v>
      </c>
      <c r="N77" s="20" t="n">
        <v>0.62015751</v>
      </c>
      <c r="O77" s="18" t="n">
        <v>0</v>
      </c>
      <c r="P77" s="20" t="n">
        <v>0</v>
      </c>
      <c r="Q77" s="18" t="n">
        <v>44.42966828</v>
      </c>
      <c r="R77" s="20" t="n">
        <v>2.55431297</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(3062.0/B11*100)</f>
        <v/>
      </c>
      <c r="D11" s="19" t="n">
        <v>438</v>
      </c>
      <c r="E11" s="18" t="n">
        <v>74.15949168</v>
      </c>
      <c r="F11" s="20" t="n">
        <v>2.04848034</v>
      </c>
      <c r="G11" s="18" t="n">
        <v>2.23277647</v>
      </c>
      <c r="H11" s="20" t="n">
        <v>0.69940355</v>
      </c>
      <c r="I11" s="18" t="s">
        <v>349</v>
      </c>
      <c r="J11" s="20" t="s">
        <v>349</v>
      </c>
      <c r="K11" s="18" t="n">
        <v>0.5358626</v>
      </c>
      <c r="L11" s="20" t="n">
        <v>0.40688946</v>
      </c>
      <c r="M11" s="18" t="n">
        <v>0</v>
      </c>
      <c r="N11" s="20" t="n">
        <v>0</v>
      </c>
      <c r="O11" s="18" t="n">
        <v>0</v>
      </c>
      <c r="P11" s="20" t="n">
        <v>0</v>
      </c>
      <c r="Q11" s="18" t="n">
        <v>23.07186925</v>
      </c>
      <c r="R11" s="20" t="n">
        <v>1.91775523</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(3381.0/B28*100)</f>
        <v/>
      </c>
      <c r="D28" s="19" t="n">
        <v>422</v>
      </c>
      <c r="E28" s="18" t="n">
        <v>82.50106801</v>
      </c>
      <c r="F28" s="20" t="n">
        <v>2.07718249</v>
      </c>
      <c r="G28" s="18" t="n">
        <v>3.24733954</v>
      </c>
      <c r="H28" s="20" t="n">
        <v>0.9520932600000001</v>
      </c>
      <c r="I28" s="18" t="s">
        <v>349</v>
      </c>
      <c r="J28" s="20" t="s">
        <v>349</v>
      </c>
      <c r="K28" s="18" t="n">
        <v>0.64020268</v>
      </c>
      <c r="L28" s="20" t="n">
        <v>0.37753794</v>
      </c>
      <c r="M28" s="18" t="n">
        <v>0</v>
      </c>
      <c r="N28" s="20" t="n">
        <v>0</v>
      </c>
      <c r="O28" s="18" t="n">
        <v>0</v>
      </c>
      <c r="P28" s="20" t="n">
        <v>0</v>
      </c>
      <c r="Q28" s="18" t="n">
        <v>13.61138978</v>
      </c>
      <c r="R28" s="20" t="n">
        <v>1.8574655</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(10823.0/B46*100)</f>
        <v/>
      </c>
      <c r="D46" s="19" t="n">
        <v>1250</v>
      </c>
      <c r="E46" s="18" t="n">
        <v>68.76829404</v>
      </c>
      <c r="F46" s="20" t="n">
        <v>1.65280614</v>
      </c>
      <c r="G46" s="18" t="n">
        <v>1.99571718</v>
      </c>
      <c r="H46" s="20" t="n">
        <v>0.6187078499999999</v>
      </c>
      <c r="I46" s="18" t="s">
        <v>349</v>
      </c>
      <c r="J46" s="20" t="s">
        <v>349</v>
      </c>
      <c r="K46" s="18" t="n">
        <v>0.9984699500000001</v>
      </c>
      <c r="L46" s="20" t="n">
        <v>0.3729091</v>
      </c>
      <c r="M46" s="18" t="n">
        <v>0.04712462</v>
      </c>
      <c r="N46" s="20" t="n">
        <v>0.04466264</v>
      </c>
      <c r="O46" s="18" t="n">
        <v>0</v>
      </c>
      <c r="P46" s="20" t="n">
        <v>0</v>
      </c>
      <c r="Q46" s="18" t="n">
        <v>28.1903942</v>
      </c>
      <c r="R46" s="20" t="n">
        <v>1.53276369</v>
      </c>
    </row>
    <row r="47" spans="1:18">
      <c r="A47" s="15" t="s">
        <v>389</v>
      </c>
      <c r="B47" s="17" t="n">
        <v>2823</v>
      </c>
      <c r="C47" s="18">
        <f>(2483.0/B47*100)</f>
        <v/>
      </c>
      <c r="D47" s="19" t="n">
        <v>340</v>
      </c>
      <c r="E47" s="18" t="n">
        <v>73.07555483</v>
      </c>
      <c r="F47" s="20" t="n">
        <v>2.42792322</v>
      </c>
      <c r="G47" s="18" t="n">
        <v>4.87142092</v>
      </c>
      <c r="H47" s="20" t="n">
        <v>1.16697791</v>
      </c>
      <c r="I47" s="18" t="s">
        <v>349</v>
      </c>
      <c r="J47" s="20" t="s">
        <v>349</v>
      </c>
      <c r="K47" s="18" t="n">
        <v>0.32374689</v>
      </c>
      <c r="L47" s="20" t="n">
        <v>0.35076948</v>
      </c>
      <c r="M47" s="18" t="n">
        <v>0</v>
      </c>
      <c r="N47" s="20" t="n">
        <v>0</v>
      </c>
      <c r="O47" s="18" t="n">
        <v>0</v>
      </c>
      <c r="P47" s="20" t="n">
        <v>0</v>
      </c>
      <c r="Q47" s="18" t="n">
        <v>21.72927736</v>
      </c>
      <c r="R47" s="20" t="n">
        <v>2.16368911</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(5442.0/B50*100)</f>
        <v/>
      </c>
      <c r="D50" s="19" t="n">
        <v>716</v>
      </c>
      <c r="E50" s="18" t="n">
        <v>84.48237107999999</v>
      </c>
      <c r="F50" s="20" t="n">
        <v>1.52303622</v>
      </c>
      <c r="G50" s="18" t="n">
        <v>1.72618938</v>
      </c>
      <c r="H50" s="20" t="n">
        <v>0.5813860199999999</v>
      </c>
      <c r="I50" s="18" t="s">
        <v>349</v>
      </c>
      <c r="J50" s="20" t="s">
        <v>349</v>
      </c>
      <c r="K50" s="18" t="n">
        <v>1.51214483</v>
      </c>
      <c r="L50" s="20" t="n">
        <v>0.82654782</v>
      </c>
      <c r="M50" s="18" t="n">
        <v>0.54808077</v>
      </c>
      <c r="N50" s="20" t="n">
        <v>0.31067697</v>
      </c>
      <c r="O50" s="18" t="n">
        <v>0</v>
      </c>
      <c r="P50" s="20" t="n">
        <v>0</v>
      </c>
      <c r="Q50" s="18" t="n">
        <v>11.73121394</v>
      </c>
      <c r="R50" s="20" t="n">
        <v>1.46375647</v>
      </c>
    </row>
    <row r="51" spans="1:18">
      <c r="A51" s="15" t="s">
        <v>393</v>
      </c>
      <c r="B51" s="17" t="n">
        <v>3494</v>
      </c>
      <c r="C51" s="18">
        <f>(3122.0/B51*100)</f>
        <v/>
      </c>
      <c r="D51" s="19" t="n">
        <v>372</v>
      </c>
      <c r="E51" s="18" t="n">
        <v>82.95554057</v>
      </c>
      <c r="F51" s="20" t="n">
        <v>1.91813515</v>
      </c>
      <c r="G51" s="18" t="n">
        <v>1.24316229</v>
      </c>
      <c r="H51" s="20" t="n">
        <v>0.7666951</v>
      </c>
      <c r="I51" s="18" t="s">
        <v>349</v>
      </c>
      <c r="J51" s="20" t="s">
        <v>349</v>
      </c>
      <c r="K51" s="18" t="n">
        <v>0.3633299</v>
      </c>
      <c r="L51" s="20" t="n">
        <v>0.36276444</v>
      </c>
      <c r="M51" s="18" t="n">
        <v>0.30060482</v>
      </c>
      <c r="N51" s="20" t="n">
        <v>0.30989244</v>
      </c>
      <c r="O51" s="18" t="n">
        <v>0</v>
      </c>
      <c r="P51" s="20" t="n">
        <v>0</v>
      </c>
      <c r="Q51" s="18" t="n">
        <v>15.13736242</v>
      </c>
      <c r="R51" s="20" t="n">
        <v>1.94283446</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(2421.0/B53*100)</f>
        <v/>
      </c>
      <c r="D53" s="19" t="n">
        <v>339</v>
      </c>
      <c r="E53" s="18" t="n">
        <v>77.42777879</v>
      </c>
      <c r="F53" s="20" t="n">
        <v>2.35730546</v>
      </c>
      <c r="G53" s="18" t="n">
        <v>1.92870819</v>
      </c>
      <c r="H53" s="20" t="n">
        <v>0.74997521</v>
      </c>
      <c r="I53" s="18" t="s">
        <v>349</v>
      </c>
      <c r="J53" s="20" t="s">
        <v>349</v>
      </c>
      <c r="K53" s="18" t="n">
        <v>0.54528467</v>
      </c>
      <c r="L53" s="20" t="n">
        <v>0.39207036</v>
      </c>
      <c r="M53" s="18" t="n">
        <v>0</v>
      </c>
      <c r="N53" s="20" t="n">
        <v>0</v>
      </c>
      <c r="O53" s="18" t="n">
        <v>0</v>
      </c>
      <c r="P53" s="20" t="n">
        <v>0</v>
      </c>
      <c r="Q53" s="18" t="n">
        <v>20.09822835</v>
      </c>
      <c r="R53" s="20" t="n">
        <v>2.25824981</v>
      </c>
    </row>
    <row r="54" spans="1:18">
      <c r="A54" s="15" t="s">
        <v>396</v>
      </c>
      <c r="B54" s="17" t="n">
        <v>2474</v>
      </c>
      <c r="C54" s="18">
        <f>(2053.0/B54*100)</f>
        <v/>
      </c>
      <c r="D54" s="19" t="n">
        <v>421</v>
      </c>
      <c r="E54" s="18" t="n">
        <v>68.93309857</v>
      </c>
      <c r="F54" s="20" t="n">
        <v>2.59856763</v>
      </c>
      <c r="G54" s="18" t="n">
        <v>0.58871344</v>
      </c>
      <c r="H54" s="20" t="n">
        <v>0.39427106</v>
      </c>
      <c r="I54" s="18" t="s">
        <v>349</v>
      </c>
      <c r="J54" s="20" t="s">
        <v>349</v>
      </c>
      <c r="K54" s="18" t="n">
        <v>5.49122078</v>
      </c>
      <c r="L54" s="20" t="n">
        <v>1.35128853</v>
      </c>
      <c r="M54" s="18" t="n">
        <v>0</v>
      </c>
      <c r="N54" s="20" t="n">
        <v>0</v>
      </c>
      <c r="O54" s="18" t="n">
        <v>0</v>
      </c>
      <c r="P54" s="20" t="n">
        <v>0</v>
      </c>
      <c r="Q54" s="18" t="n">
        <v>24.98696721</v>
      </c>
      <c r="R54" s="20" t="n">
        <v>2.606504</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(3070.0/B67*100)</f>
        <v/>
      </c>
      <c r="D67" s="19" t="n">
        <v>390</v>
      </c>
      <c r="E67" s="18" t="n">
        <v>70.59125357000001</v>
      </c>
      <c r="F67" s="20" t="n">
        <v>2.50688767</v>
      </c>
      <c r="G67" s="18" t="n">
        <v>2.25941627</v>
      </c>
      <c r="H67" s="20" t="n">
        <v>0.75559012</v>
      </c>
      <c r="I67" s="18" t="s">
        <v>349</v>
      </c>
      <c r="J67" s="20" t="s">
        <v>349</v>
      </c>
      <c r="K67" s="18" t="n">
        <v>0.54761985</v>
      </c>
      <c r="L67" s="20" t="n">
        <v>0.40292523</v>
      </c>
      <c r="M67" s="18" t="n">
        <v>0</v>
      </c>
      <c r="N67" s="20" t="n">
        <v>0</v>
      </c>
      <c r="O67" s="18" t="n">
        <v>0</v>
      </c>
      <c r="P67" s="20" t="n">
        <v>0</v>
      </c>
      <c r="Q67" s="18" t="n">
        <v>26.6017103</v>
      </c>
      <c r="R67" s="20" t="n">
        <v>2.5209172</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(2621.0/B75*100)</f>
        <v/>
      </c>
      <c r="D75" s="19" t="n">
        <v>348</v>
      </c>
      <c r="E75" s="18" t="n">
        <v>60.49604788</v>
      </c>
      <c r="F75" s="20" t="n">
        <v>2.34422209</v>
      </c>
      <c r="G75" s="18" t="n">
        <v>14.89042544</v>
      </c>
      <c r="H75" s="20" t="n">
        <v>2.12478745</v>
      </c>
      <c r="I75" s="18" t="s">
        <v>349</v>
      </c>
      <c r="J75" s="20" t="s">
        <v>349</v>
      </c>
      <c r="K75" s="18" t="n">
        <v>2.76444768</v>
      </c>
      <c r="L75" s="20" t="n">
        <v>0.90290938</v>
      </c>
      <c r="M75" s="18" t="n">
        <v>0</v>
      </c>
      <c r="N75" s="20" t="n">
        <v>0</v>
      </c>
      <c r="O75" s="18" t="n">
        <v>0</v>
      </c>
      <c r="P75" s="20" t="n">
        <v>0</v>
      </c>
      <c r="Q75" s="18" t="n">
        <v>21.849079</v>
      </c>
      <c r="R75" s="20" t="n">
        <v>2.11307992</v>
      </c>
    </row>
    <row r="76" spans="1:18">
      <c r="A76" s="15" t="s">
        <v>418</v>
      </c>
      <c r="B76" s="17" t="n">
        <v>7115</v>
      </c>
      <c r="C76" s="18">
        <f>(6243.0/B76*100)</f>
        <v/>
      </c>
      <c r="D76" s="19" t="n">
        <v>872</v>
      </c>
      <c r="E76" s="18" t="n">
        <v>87.99323686</v>
      </c>
      <c r="F76" s="20" t="n">
        <v>1.0529525</v>
      </c>
      <c r="G76" s="18" t="n">
        <v>2.48307169</v>
      </c>
      <c r="H76" s="20" t="n">
        <v>0.77413364</v>
      </c>
      <c r="I76" s="18" t="s">
        <v>349</v>
      </c>
      <c r="J76" s="20" t="s">
        <v>349</v>
      </c>
      <c r="K76" s="18" t="n">
        <v>0.07159740000000001</v>
      </c>
      <c r="L76" s="20" t="n">
        <v>0.07208723</v>
      </c>
      <c r="M76" s="18" t="n">
        <v>0</v>
      </c>
      <c r="N76" s="20" t="n">
        <v>0</v>
      </c>
      <c r="O76" s="18" t="n">
        <v>0</v>
      </c>
      <c r="P76" s="20" t="n">
        <v>0</v>
      </c>
      <c r="Q76" s="18" t="n">
        <v>9.452094049999999</v>
      </c>
      <c r="R76" s="20" t="n">
        <v>0.91979407</v>
      </c>
    </row>
    <row r="77" spans="1:18">
      <c r="A77" s="15" t="s">
        <v>419</v>
      </c>
      <c r="B77" s="17" t="n">
        <v>3154</v>
      </c>
      <c r="C77" s="18">
        <f>(2777.0/B77*100)</f>
        <v/>
      </c>
      <c r="D77" s="19" t="n">
        <v>377</v>
      </c>
      <c r="E77" s="18" t="n">
        <v>62.25029064</v>
      </c>
      <c r="F77" s="20" t="n">
        <v>2.94696293</v>
      </c>
      <c r="G77" s="18" t="n">
        <v>3.33691889</v>
      </c>
      <c r="H77" s="20" t="n">
        <v>1.06660237</v>
      </c>
      <c r="I77" s="18" t="s">
        <v>349</v>
      </c>
      <c r="J77" s="20" t="s">
        <v>349</v>
      </c>
      <c r="K77" s="18" t="n">
        <v>0.10486147</v>
      </c>
      <c r="L77" s="20" t="n">
        <v>0.10546865</v>
      </c>
      <c r="M77" s="18" t="n">
        <v>2.39752257</v>
      </c>
      <c r="N77" s="20" t="n">
        <v>0.62378928</v>
      </c>
      <c r="O77" s="18" t="n">
        <v>0</v>
      </c>
      <c r="P77" s="20" t="n">
        <v>0</v>
      </c>
      <c r="Q77" s="18" t="n">
        <v>31.91040643</v>
      </c>
      <c r="R77" s="20" t="n">
        <v>2.69029442</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(3058.0/B11*100)</f>
        <v/>
      </c>
      <c r="D11" s="19" t="n">
        <v>442</v>
      </c>
      <c r="E11" s="18" t="n">
        <v>47.19342285</v>
      </c>
      <c r="F11" s="20" t="n">
        <v>2.65305704</v>
      </c>
      <c r="G11" s="18" t="n">
        <v>45.58667523</v>
      </c>
      <c r="H11" s="20" t="n">
        <v>2.60924711</v>
      </c>
      <c r="I11" s="18" t="s">
        <v>349</v>
      </c>
      <c r="J11" s="20" t="s">
        <v>349</v>
      </c>
      <c r="K11" s="18" t="n">
        <v>0.60236572</v>
      </c>
      <c r="L11" s="20" t="n">
        <v>0.40825538</v>
      </c>
      <c r="M11" s="18" t="n">
        <v>0</v>
      </c>
      <c r="N11" s="20" t="n">
        <v>0</v>
      </c>
      <c r="O11" s="18" t="n">
        <v>0</v>
      </c>
      <c r="P11" s="20" t="n">
        <v>0</v>
      </c>
      <c r="Q11" s="18" t="n">
        <v>6.6175362</v>
      </c>
      <c r="R11" s="20" t="n">
        <v>1.23404986</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(3373.0/B28*100)</f>
        <v/>
      </c>
      <c r="D28" s="19" t="n">
        <v>430</v>
      </c>
      <c r="E28" s="18" t="n">
        <v>62.19328443</v>
      </c>
      <c r="F28" s="20" t="n">
        <v>2.48566797</v>
      </c>
      <c r="G28" s="18" t="n">
        <v>32.96688559</v>
      </c>
      <c r="H28" s="20" t="n">
        <v>2.42256588</v>
      </c>
      <c r="I28" s="18" t="s">
        <v>349</v>
      </c>
      <c r="J28" s="20" t="s">
        <v>349</v>
      </c>
      <c r="K28" s="18" t="n">
        <v>0.84932102</v>
      </c>
      <c r="L28" s="20" t="n">
        <v>0.43845278</v>
      </c>
      <c r="M28" s="18" t="n">
        <v>0</v>
      </c>
      <c r="N28" s="20" t="n">
        <v>0</v>
      </c>
      <c r="O28" s="18" t="n">
        <v>0</v>
      </c>
      <c r="P28" s="20" t="n">
        <v>0</v>
      </c>
      <c r="Q28" s="18" t="n">
        <v>3.99050896</v>
      </c>
      <c r="R28" s="20" t="n">
        <v>1.04393659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(10777.0/B46*100)</f>
        <v/>
      </c>
      <c r="D46" s="19" t="n">
        <v>1296</v>
      </c>
      <c r="E46" s="18" t="n">
        <v>62.16357928</v>
      </c>
      <c r="F46" s="20" t="n">
        <v>1.73026125</v>
      </c>
      <c r="G46" s="18" t="n">
        <v>24.59074255</v>
      </c>
      <c r="H46" s="20" t="n">
        <v>1.65729089</v>
      </c>
      <c r="I46" s="18" t="s">
        <v>349</v>
      </c>
      <c r="J46" s="20" t="s">
        <v>349</v>
      </c>
      <c r="K46" s="18" t="n">
        <v>1.21208035</v>
      </c>
      <c r="L46" s="20" t="n">
        <v>0.40661085</v>
      </c>
      <c r="M46" s="18" t="n">
        <v>0</v>
      </c>
      <c r="N46" s="20" t="n">
        <v>0</v>
      </c>
      <c r="O46" s="18" t="n">
        <v>0</v>
      </c>
      <c r="P46" s="20" t="n">
        <v>0</v>
      </c>
      <c r="Q46" s="18" t="n">
        <v>12.03359781</v>
      </c>
      <c r="R46" s="20" t="n">
        <v>1.35323747</v>
      </c>
    </row>
    <row r="47" spans="1:18">
      <c r="A47" s="15" t="s">
        <v>389</v>
      </c>
      <c r="B47" s="17" t="n">
        <v>2823</v>
      </c>
      <c r="C47" s="18">
        <f>(2479.0/B47*100)</f>
        <v/>
      </c>
      <c r="D47" s="19" t="n">
        <v>344</v>
      </c>
      <c r="E47" s="18" t="n">
        <v>48.59947142</v>
      </c>
      <c r="F47" s="20" t="n">
        <v>2.86443412</v>
      </c>
      <c r="G47" s="18" t="n">
        <v>46.28853784</v>
      </c>
      <c r="H47" s="20" t="n">
        <v>2.97242892</v>
      </c>
      <c r="I47" s="18" t="s">
        <v>349</v>
      </c>
      <c r="J47" s="20" t="s">
        <v>349</v>
      </c>
      <c r="K47" s="18" t="n">
        <v>0.32026291</v>
      </c>
      <c r="L47" s="20" t="n">
        <v>0.34792152</v>
      </c>
      <c r="M47" s="18" t="n">
        <v>0</v>
      </c>
      <c r="N47" s="20" t="n">
        <v>0</v>
      </c>
      <c r="O47" s="18" t="n">
        <v>0</v>
      </c>
      <c r="P47" s="20" t="n">
        <v>0</v>
      </c>
      <c r="Q47" s="18" t="n">
        <v>4.79172783</v>
      </c>
      <c r="R47" s="20" t="n">
        <v>1.26450326</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(5435.0/B50*100)</f>
        <v/>
      </c>
      <c r="D50" s="19" t="n">
        <v>723</v>
      </c>
      <c r="E50" s="18" t="n">
        <v>62.41477037</v>
      </c>
      <c r="F50" s="20" t="n">
        <v>2.10113729</v>
      </c>
      <c r="G50" s="18" t="n">
        <v>28.53925038</v>
      </c>
      <c r="H50" s="20" t="n">
        <v>2.10456568</v>
      </c>
      <c r="I50" s="18" t="s">
        <v>349</v>
      </c>
      <c r="J50" s="20" t="s">
        <v>349</v>
      </c>
      <c r="K50" s="18" t="n">
        <v>1.94734504</v>
      </c>
      <c r="L50" s="20" t="n">
        <v>0.87290018</v>
      </c>
      <c r="M50" s="18" t="n">
        <v>0</v>
      </c>
      <c r="N50" s="20" t="n">
        <v>0</v>
      </c>
      <c r="O50" s="18" t="n">
        <v>0</v>
      </c>
      <c r="P50" s="20" t="n">
        <v>0</v>
      </c>
      <c r="Q50" s="18" t="n">
        <v>7.09863421</v>
      </c>
      <c r="R50" s="20" t="n">
        <v>1.40367519</v>
      </c>
    </row>
    <row r="51" spans="1:18">
      <c r="A51" s="15" t="s">
        <v>393</v>
      </c>
      <c r="B51" s="17" t="n">
        <v>3494</v>
      </c>
      <c r="C51" s="18">
        <f>(3114.0/B51*100)</f>
        <v/>
      </c>
      <c r="D51" s="19" t="n">
        <v>380</v>
      </c>
      <c r="E51" s="18" t="n">
        <v>57.6964912</v>
      </c>
      <c r="F51" s="20" t="n">
        <v>2.83348694</v>
      </c>
      <c r="G51" s="18" t="n">
        <v>32.62553453</v>
      </c>
      <c r="H51" s="20" t="n">
        <v>2.65173596</v>
      </c>
      <c r="I51" s="18" t="s">
        <v>349</v>
      </c>
      <c r="J51" s="20" t="s">
        <v>349</v>
      </c>
      <c r="K51" s="18" t="n">
        <v>0.3570961</v>
      </c>
      <c r="L51" s="20" t="n">
        <v>0.35650651</v>
      </c>
      <c r="M51" s="18" t="n">
        <v>0</v>
      </c>
      <c r="N51" s="20" t="n">
        <v>0</v>
      </c>
      <c r="O51" s="18" t="n">
        <v>0</v>
      </c>
      <c r="P51" s="20" t="n">
        <v>0</v>
      </c>
      <c r="Q51" s="18" t="n">
        <v>9.32087817</v>
      </c>
      <c r="R51" s="20" t="n">
        <v>1.7289017</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(2421.0/B53*100)</f>
        <v/>
      </c>
      <c r="D53" s="19" t="n">
        <v>339</v>
      </c>
      <c r="E53" s="18" t="n">
        <v>51.27592894</v>
      </c>
      <c r="F53" s="20" t="n">
        <v>2.79372506</v>
      </c>
      <c r="G53" s="18" t="n">
        <v>40.49171378</v>
      </c>
      <c r="H53" s="20" t="n">
        <v>2.63030497</v>
      </c>
      <c r="I53" s="18" t="s">
        <v>349</v>
      </c>
      <c r="J53" s="20" t="s">
        <v>349</v>
      </c>
      <c r="K53" s="18" t="n">
        <v>0.90704341</v>
      </c>
      <c r="L53" s="20" t="n">
        <v>0.52605091</v>
      </c>
      <c r="M53" s="18" t="n">
        <v>0</v>
      </c>
      <c r="N53" s="20" t="n">
        <v>0</v>
      </c>
      <c r="O53" s="18" t="n">
        <v>0</v>
      </c>
      <c r="P53" s="20" t="n">
        <v>0</v>
      </c>
      <c r="Q53" s="18" t="n">
        <v>7.32531388</v>
      </c>
      <c r="R53" s="20" t="n">
        <v>1.56186976</v>
      </c>
    </row>
    <row r="54" spans="1:18">
      <c r="A54" s="15" t="s">
        <v>396</v>
      </c>
      <c r="B54" s="17" t="n">
        <v>2474</v>
      </c>
      <c r="C54" s="18">
        <f>(2051.0/B54*100)</f>
        <v/>
      </c>
      <c r="D54" s="19" t="n">
        <v>423</v>
      </c>
      <c r="E54" s="18" t="n">
        <v>66.75917213</v>
      </c>
      <c r="F54" s="20" t="n">
        <v>2.74395456</v>
      </c>
      <c r="G54" s="18" t="n">
        <v>12.12699617</v>
      </c>
      <c r="H54" s="20" t="n">
        <v>1.65760002</v>
      </c>
      <c r="I54" s="18" t="s">
        <v>349</v>
      </c>
      <c r="J54" s="20" t="s">
        <v>349</v>
      </c>
      <c r="K54" s="18" t="n">
        <v>6.45452556</v>
      </c>
      <c r="L54" s="20" t="n">
        <v>1.35897448</v>
      </c>
      <c r="M54" s="18" t="n">
        <v>0</v>
      </c>
      <c r="N54" s="20" t="n">
        <v>0</v>
      </c>
      <c r="O54" s="18" t="n">
        <v>0</v>
      </c>
      <c r="P54" s="20" t="n">
        <v>0</v>
      </c>
      <c r="Q54" s="18" t="n">
        <v>14.65930614</v>
      </c>
      <c r="R54" s="20" t="n">
        <v>2.14723887</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(3065.0/B67*100)</f>
        <v/>
      </c>
      <c r="D67" s="19" t="n">
        <v>395</v>
      </c>
      <c r="E67" s="18" t="n">
        <v>54.64046993</v>
      </c>
      <c r="F67" s="20" t="n">
        <v>2.65161402</v>
      </c>
      <c r="G67" s="18" t="n">
        <v>36.41698759</v>
      </c>
      <c r="H67" s="20" t="n">
        <v>2.51769805</v>
      </c>
      <c r="I67" s="18" t="s">
        <v>349</v>
      </c>
      <c r="J67" s="20" t="s">
        <v>349</v>
      </c>
      <c r="K67" s="18" t="n">
        <v>0.54116726</v>
      </c>
      <c r="L67" s="20" t="n">
        <v>0.3981186</v>
      </c>
      <c r="M67" s="18" t="n">
        <v>0</v>
      </c>
      <c r="N67" s="20" t="n">
        <v>0</v>
      </c>
      <c r="O67" s="18" t="n">
        <v>0</v>
      </c>
      <c r="P67" s="20" t="n">
        <v>0</v>
      </c>
      <c r="Q67" s="18" t="n">
        <v>8.40137522</v>
      </c>
      <c r="R67" s="20" t="n">
        <v>1.57123019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(2616.0/B75*100)</f>
        <v/>
      </c>
      <c r="D75" s="19" t="n">
        <v>353</v>
      </c>
      <c r="E75" s="18" t="n">
        <v>70.45639215</v>
      </c>
      <c r="F75" s="20" t="n">
        <v>2.28108256</v>
      </c>
      <c r="G75" s="18" t="n">
        <v>20.14361448</v>
      </c>
      <c r="H75" s="20" t="n">
        <v>2.3824278</v>
      </c>
      <c r="I75" s="18" t="s">
        <v>349</v>
      </c>
      <c r="J75" s="20" t="s">
        <v>349</v>
      </c>
      <c r="K75" s="18" t="n">
        <v>2.70839048</v>
      </c>
      <c r="L75" s="20" t="n">
        <v>0.88154248</v>
      </c>
      <c r="M75" s="18" t="n">
        <v>0</v>
      </c>
      <c r="N75" s="20" t="n">
        <v>0</v>
      </c>
      <c r="O75" s="18" t="n">
        <v>0</v>
      </c>
      <c r="P75" s="20" t="n">
        <v>0</v>
      </c>
      <c r="Q75" s="18" t="n">
        <v>6.69160289</v>
      </c>
      <c r="R75" s="20" t="n">
        <v>1.21120816</v>
      </c>
    </row>
    <row r="76" spans="1:18">
      <c r="A76" s="15" t="s">
        <v>418</v>
      </c>
      <c r="B76" s="17" t="n">
        <v>7115</v>
      </c>
      <c r="C76" s="18">
        <f>(6241.0/B76*100)</f>
        <v/>
      </c>
      <c r="D76" s="19" t="n">
        <v>874</v>
      </c>
      <c r="E76" s="18" t="n">
        <v>48.74777932</v>
      </c>
      <c r="F76" s="20" t="n">
        <v>2.16495603</v>
      </c>
      <c r="G76" s="18" t="n">
        <v>47.52461317</v>
      </c>
      <c r="H76" s="20" t="n">
        <v>1.98683784</v>
      </c>
      <c r="I76" s="18" t="s">
        <v>349</v>
      </c>
      <c r="J76" s="20" t="s">
        <v>349</v>
      </c>
      <c r="K76" s="18" t="n">
        <v>0.49027225</v>
      </c>
      <c r="L76" s="20" t="n">
        <v>0.32669903</v>
      </c>
      <c r="M76" s="18" t="n">
        <v>0</v>
      </c>
      <c r="N76" s="20" t="n">
        <v>0</v>
      </c>
      <c r="O76" s="18" t="n">
        <v>0</v>
      </c>
      <c r="P76" s="20" t="n">
        <v>0</v>
      </c>
      <c r="Q76" s="18" t="n">
        <v>3.23733526</v>
      </c>
      <c r="R76" s="20" t="n">
        <v>0.80232599</v>
      </c>
    </row>
    <row r="77" spans="1:18">
      <c r="A77" s="15" t="s">
        <v>419</v>
      </c>
      <c r="B77" s="17" t="n">
        <v>3154</v>
      </c>
      <c r="C77" s="18">
        <f>(2775.0/B77*100)</f>
        <v/>
      </c>
      <c r="D77" s="19" t="n">
        <v>379</v>
      </c>
      <c r="E77" s="18" t="n">
        <v>52.25781974</v>
      </c>
      <c r="F77" s="20" t="n">
        <v>2.48186291</v>
      </c>
      <c r="G77" s="18" t="n">
        <v>40.65958758</v>
      </c>
      <c r="H77" s="20" t="n">
        <v>2.55660101</v>
      </c>
      <c r="I77" s="18" t="s">
        <v>349</v>
      </c>
      <c r="J77" s="20" t="s">
        <v>349</v>
      </c>
      <c r="K77" s="18" t="n">
        <v>0.10444208</v>
      </c>
      <c r="L77" s="20" t="n">
        <v>0.10504606</v>
      </c>
      <c r="M77" s="18" t="n">
        <v>0</v>
      </c>
      <c r="N77" s="20" t="n">
        <v>0</v>
      </c>
      <c r="O77" s="18" t="n">
        <v>0</v>
      </c>
      <c r="P77" s="20" t="n">
        <v>0</v>
      </c>
      <c r="Q77" s="18" t="n">
        <v>6.97815061</v>
      </c>
      <c r="R77" s="20" t="n">
        <v>1.61434074</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528</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3500</v>
      </c>
      <c r="C11" s="18">
        <f>(3063.0/B11*100)</f>
        <v/>
      </c>
      <c r="D11" s="19" t="n">
        <v>437</v>
      </c>
      <c r="E11" s="18" t="n">
        <v>27.48756138</v>
      </c>
      <c r="F11" s="20" t="n">
        <v>2.67931651</v>
      </c>
      <c r="G11" s="18" t="n">
        <v>21.87695162</v>
      </c>
      <c r="H11" s="20" t="n">
        <v>1.9786481</v>
      </c>
      <c r="I11" s="18" t="n">
        <v>29.38753905</v>
      </c>
      <c r="J11" s="20" t="n">
        <v>2.49235575</v>
      </c>
      <c r="K11" s="18" t="s">
        <v>349</v>
      </c>
      <c r="L11" s="20" t="s">
        <v>349</v>
      </c>
      <c r="M11" s="18" t="n">
        <v>0.70236491</v>
      </c>
      <c r="N11" s="20" t="n">
        <v>0.42243155</v>
      </c>
      <c r="O11" s="18" t="n">
        <v>0</v>
      </c>
      <c r="P11" s="20" t="n">
        <v>0</v>
      </c>
      <c r="Q11" s="18" t="n">
        <v>0</v>
      </c>
      <c r="R11" s="20" t="n">
        <v>0</v>
      </c>
      <c r="S11" s="18" t="n">
        <v>20.54558305</v>
      </c>
      <c r="T11" s="20" t="n">
        <v>2.06862085</v>
      </c>
    </row>
    <row r="12" spans="1:20">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3803</v>
      </c>
      <c r="C28" s="18">
        <f>(3381.0/B28*100)</f>
        <v/>
      </c>
      <c r="D28" s="19" t="n">
        <v>422</v>
      </c>
      <c r="E28" s="18" t="n">
        <v>44.33402351</v>
      </c>
      <c r="F28" s="20" t="n">
        <v>2.88665489</v>
      </c>
      <c r="G28" s="18" t="n">
        <v>27.15363599</v>
      </c>
      <c r="H28" s="20" t="n">
        <v>2.22277243</v>
      </c>
      <c r="I28" s="18" t="n">
        <v>22.28672377</v>
      </c>
      <c r="J28" s="20" t="n">
        <v>2.32605226</v>
      </c>
      <c r="K28" s="18" t="s">
        <v>349</v>
      </c>
      <c r="L28" s="20" t="s">
        <v>349</v>
      </c>
      <c r="M28" s="18" t="n">
        <v>0.86791319</v>
      </c>
      <c r="N28" s="20" t="n">
        <v>0.44676785</v>
      </c>
      <c r="O28" s="18" t="n">
        <v>0</v>
      </c>
      <c r="P28" s="20" t="n">
        <v>0</v>
      </c>
      <c r="Q28" s="18" t="n">
        <v>0</v>
      </c>
      <c r="R28" s="20" t="n">
        <v>0</v>
      </c>
      <c r="S28" s="18" t="n">
        <v>5.35770354</v>
      </c>
      <c r="T28" s="20" t="n">
        <v>1.20970158</v>
      </c>
    </row>
    <row r="29" spans="1:20">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row>
    <row r="46" spans="1:20">
      <c r="A46" s="15" t="s">
        <v>388</v>
      </c>
      <c r="B46" s="17" t="n">
        <v>12073</v>
      </c>
      <c r="C46" s="18">
        <f>(10824.0/B46*100)</f>
        <v/>
      </c>
      <c r="D46" s="19" t="n">
        <v>1249</v>
      </c>
      <c r="E46" s="18" t="n">
        <v>33.59495724</v>
      </c>
      <c r="F46" s="20" t="n">
        <v>1.79354925</v>
      </c>
      <c r="G46" s="18" t="n">
        <v>21.66269781</v>
      </c>
      <c r="H46" s="20" t="n">
        <v>1.78932935</v>
      </c>
      <c r="I46" s="18" t="n">
        <v>19.54003969</v>
      </c>
      <c r="J46" s="20" t="n">
        <v>1.53663939</v>
      </c>
      <c r="K46" s="18" t="s">
        <v>349</v>
      </c>
      <c r="L46" s="20" t="s">
        <v>349</v>
      </c>
      <c r="M46" s="18" t="n">
        <v>1.25247335</v>
      </c>
      <c r="N46" s="20" t="n">
        <v>0.41976868</v>
      </c>
      <c r="O46" s="18" t="n">
        <v>0.04715797</v>
      </c>
      <c r="P46" s="20" t="n">
        <v>0.04469818</v>
      </c>
      <c r="Q46" s="18" t="n">
        <v>0</v>
      </c>
      <c r="R46" s="20" t="n">
        <v>0</v>
      </c>
      <c r="S46" s="18" t="n">
        <v>23.90267394</v>
      </c>
      <c r="T46" s="20" t="n">
        <v>1.76395779</v>
      </c>
    </row>
    <row r="47" spans="1:20">
      <c r="A47" s="15" t="s">
        <v>389</v>
      </c>
      <c r="B47" s="17" t="n">
        <v>2823</v>
      </c>
      <c r="C47" s="18">
        <f>(2482.0/B47*100)</f>
        <v/>
      </c>
      <c r="D47" s="19" t="n">
        <v>341</v>
      </c>
      <c r="E47" s="18" t="n">
        <v>24.19722449</v>
      </c>
      <c r="F47" s="20" t="n">
        <v>2.41586047</v>
      </c>
      <c r="G47" s="18" t="n">
        <v>22.26950402</v>
      </c>
      <c r="H47" s="20" t="n">
        <v>2.32276505</v>
      </c>
      <c r="I47" s="18" t="n">
        <v>34.31353975</v>
      </c>
      <c r="J47" s="20" t="n">
        <v>2.49662867</v>
      </c>
      <c r="K47" s="18" t="s">
        <v>349</v>
      </c>
      <c r="L47" s="20" t="s">
        <v>349</v>
      </c>
      <c r="M47" s="18" t="n">
        <v>0.32278256</v>
      </c>
      <c r="N47" s="20" t="n">
        <v>0.34973358</v>
      </c>
      <c r="O47" s="18" t="n">
        <v>0</v>
      </c>
      <c r="P47" s="20" t="n">
        <v>0</v>
      </c>
      <c r="Q47" s="18" t="n">
        <v>0</v>
      </c>
      <c r="R47" s="20" t="n">
        <v>0</v>
      </c>
      <c r="S47" s="18" t="n">
        <v>18.89694918</v>
      </c>
      <c r="T47" s="20" t="n">
        <v>2.12531574</v>
      </c>
    </row>
    <row r="48" spans="1:20">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row>
    <row r="50" spans="1:20">
      <c r="A50" s="15" t="s">
        <v>392</v>
      </c>
      <c r="B50" s="17" t="n">
        <v>6158</v>
      </c>
      <c r="C50" s="18">
        <f>(5442.0/B50*100)</f>
        <v/>
      </c>
      <c r="D50" s="19" t="n">
        <v>716</v>
      </c>
      <c r="E50" s="18" t="n">
        <v>35.67497722</v>
      </c>
      <c r="F50" s="20" t="n">
        <v>2.31172959</v>
      </c>
      <c r="G50" s="18" t="n">
        <v>28.9441266</v>
      </c>
      <c r="H50" s="20" t="n">
        <v>2.15674706</v>
      </c>
      <c r="I50" s="18" t="n">
        <v>26.70478491</v>
      </c>
      <c r="J50" s="20" t="n">
        <v>2.16000118</v>
      </c>
      <c r="K50" s="18" t="s">
        <v>349</v>
      </c>
      <c r="L50" s="20" t="s">
        <v>349</v>
      </c>
      <c r="M50" s="18" t="n">
        <v>2.29591783</v>
      </c>
      <c r="N50" s="20" t="n">
        <v>0.92502481</v>
      </c>
      <c r="O50" s="18" t="n">
        <v>0.54808077</v>
      </c>
      <c r="P50" s="20" t="n">
        <v>0.31067697</v>
      </c>
      <c r="Q50" s="18" t="n">
        <v>0</v>
      </c>
      <c r="R50" s="20" t="n">
        <v>0</v>
      </c>
      <c r="S50" s="18" t="n">
        <v>5.83211267</v>
      </c>
      <c r="T50" s="20" t="n">
        <v>1.17290069</v>
      </c>
    </row>
    <row r="51" spans="1:20">
      <c r="A51" s="15" t="s">
        <v>393</v>
      </c>
      <c r="B51" s="17" t="n">
        <v>3494</v>
      </c>
      <c r="C51" s="18">
        <f>(3122.0/B51*100)</f>
        <v/>
      </c>
      <c r="D51" s="19" t="n">
        <v>372</v>
      </c>
      <c r="E51" s="18" t="n">
        <v>42.18560044</v>
      </c>
      <c r="F51" s="20" t="n">
        <v>3.23804025</v>
      </c>
      <c r="G51" s="18" t="n">
        <v>30.00953047</v>
      </c>
      <c r="H51" s="20" t="n">
        <v>2.72527842</v>
      </c>
      <c r="I51" s="18" t="n">
        <v>15.2729573</v>
      </c>
      <c r="J51" s="20" t="n">
        <v>1.87804393</v>
      </c>
      <c r="K51" s="18" t="s">
        <v>349</v>
      </c>
      <c r="L51" s="20" t="s">
        <v>349</v>
      </c>
      <c r="M51" s="18" t="n">
        <v>0.3633299</v>
      </c>
      <c r="N51" s="20" t="n">
        <v>0.36276444</v>
      </c>
      <c r="O51" s="18" t="n">
        <v>0.30060482</v>
      </c>
      <c r="P51" s="20" t="n">
        <v>0.30989244</v>
      </c>
      <c r="Q51" s="18" t="n">
        <v>0</v>
      </c>
      <c r="R51" s="20" t="n">
        <v>0</v>
      </c>
      <c r="S51" s="18" t="n">
        <v>11.86797707</v>
      </c>
      <c r="T51" s="20" t="n">
        <v>1.63306814</v>
      </c>
    </row>
    <row r="52" spans="1:20">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2760</v>
      </c>
      <c r="C53" s="18">
        <f>(2421.0/B53*100)</f>
        <v/>
      </c>
      <c r="D53" s="19" t="n">
        <v>339</v>
      </c>
      <c r="E53" s="18" t="n">
        <v>22.69684362</v>
      </c>
      <c r="F53" s="20" t="n">
        <v>2.43249971</v>
      </c>
      <c r="G53" s="18" t="n">
        <v>22.72296295</v>
      </c>
      <c r="H53" s="20" t="n">
        <v>2.6867429</v>
      </c>
      <c r="I53" s="18" t="n">
        <v>35.07462056</v>
      </c>
      <c r="J53" s="20" t="n">
        <v>3.14546799</v>
      </c>
      <c r="K53" s="18" t="s">
        <v>349</v>
      </c>
      <c r="L53" s="20" t="s">
        <v>349</v>
      </c>
      <c r="M53" s="18" t="n">
        <v>0.90704341</v>
      </c>
      <c r="N53" s="20" t="n">
        <v>0.52605091</v>
      </c>
      <c r="O53" s="18" t="n">
        <v>0</v>
      </c>
      <c r="P53" s="20" t="n">
        <v>0</v>
      </c>
      <c r="Q53" s="18" t="n">
        <v>0</v>
      </c>
      <c r="R53" s="20" t="n">
        <v>0</v>
      </c>
      <c r="S53" s="18" t="n">
        <v>18.59852946</v>
      </c>
      <c r="T53" s="20" t="n">
        <v>2.33640028</v>
      </c>
    </row>
    <row r="54" spans="1:20">
      <c r="A54" s="15" t="s">
        <v>396</v>
      </c>
      <c r="B54" s="17" t="n">
        <v>2474</v>
      </c>
      <c r="C54" s="18">
        <f>(2053.0/B54*100)</f>
        <v/>
      </c>
      <c r="D54" s="19" t="n">
        <v>421</v>
      </c>
      <c r="E54" s="18" t="n">
        <v>39.03836539</v>
      </c>
      <c r="F54" s="20" t="n">
        <v>2.839912</v>
      </c>
      <c r="G54" s="18" t="n">
        <v>14.96810458</v>
      </c>
      <c r="H54" s="20" t="n">
        <v>1.66623942</v>
      </c>
      <c r="I54" s="18" t="n">
        <v>15.73464282</v>
      </c>
      <c r="J54" s="20" t="n">
        <v>2.0602445</v>
      </c>
      <c r="K54" s="18" t="s">
        <v>349</v>
      </c>
      <c r="L54" s="20" t="s">
        <v>349</v>
      </c>
      <c r="M54" s="18" t="n">
        <v>7.48340384</v>
      </c>
      <c r="N54" s="20" t="n">
        <v>1.40923283</v>
      </c>
      <c r="O54" s="18" t="n">
        <v>0</v>
      </c>
      <c r="P54" s="20" t="n">
        <v>0</v>
      </c>
      <c r="Q54" s="18" t="n">
        <v>0</v>
      </c>
      <c r="R54" s="20" t="n">
        <v>0</v>
      </c>
      <c r="S54" s="18" t="n">
        <v>22.77548337</v>
      </c>
      <c r="T54" s="20" t="n">
        <v>2.62770128</v>
      </c>
    </row>
    <row r="55" spans="1:20">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row>
    <row r="59" spans="1:20">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row>
    <row r="60" spans="1:20">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row>
    <row r="61" spans="1:20">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row>
    <row r="64" spans="1:20">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row>
    <row r="66" spans="1:20">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3460</v>
      </c>
      <c r="C67" s="18">
        <f>(3070.0/B67*100)</f>
        <v/>
      </c>
      <c r="D67" s="19" t="n">
        <v>390</v>
      </c>
      <c r="E67" s="18" t="n">
        <v>35.64862829</v>
      </c>
      <c r="F67" s="20" t="n">
        <v>2.61338288</v>
      </c>
      <c r="G67" s="18" t="n">
        <v>19.22315041</v>
      </c>
      <c r="H67" s="20" t="n">
        <v>1.79399403</v>
      </c>
      <c r="I67" s="18" t="n">
        <v>23.72499769</v>
      </c>
      <c r="J67" s="20" t="n">
        <v>2.12367539</v>
      </c>
      <c r="K67" s="18" t="s">
        <v>349</v>
      </c>
      <c r="L67" s="20" t="s">
        <v>349</v>
      </c>
      <c r="M67" s="18" t="n">
        <v>0.54761985</v>
      </c>
      <c r="N67" s="20" t="n">
        <v>0.40292523</v>
      </c>
      <c r="O67" s="18" t="n">
        <v>0</v>
      </c>
      <c r="P67" s="20" t="n">
        <v>0</v>
      </c>
      <c r="Q67" s="18" t="n">
        <v>0</v>
      </c>
      <c r="R67" s="20" t="n">
        <v>0</v>
      </c>
      <c r="S67" s="18" t="n">
        <v>20.85560376</v>
      </c>
      <c r="T67" s="20" t="n">
        <v>1.9867017</v>
      </c>
    </row>
    <row r="68" spans="1:20">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row>
    <row r="70" spans="1:20">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row>
    <row r="75" spans="1:20">
      <c r="A75" s="15" t="s">
        <v>417</v>
      </c>
      <c r="B75" s="17" t="n">
        <v>2969</v>
      </c>
      <c r="C75" s="18">
        <f>(2621.0/B75*100)</f>
        <v/>
      </c>
      <c r="D75" s="19" t="n">
        <v>348</v>
      </c>
      <c r="E75" s="18" t="n">
        <v>37.83737252</v>
      </c>
      <c r="F75" s="20" t="n">
        <v>2.70499244</v>
      </c>
      <c r="G75" s="18" t="n">
        <v>25.98907709</v>
      </c>
      <c r="H75" s="20" t="n">
        <v>2.73104824</v>
      </c>
      <c r="I75" s="18" t="n">
        <v>14.86983586</v>
      </c>
      <c r="J75" s="20" t="n">
        <v>1.90405738</v>
      </c>
      <c r="K75" s="18" t="s">
        <v>349</v>
      </c>
      <c r="L75" s="20" t="s">
        <v>349</v>
      </c>
      <c r="M75" s="18" t="n">
        <v>3.01082161</v>
      </c>
      <c r="N75" s="20" t="n">
        <v>0.9289091</v>
      </c>
      <c r="O75" s="18" t="n">
        <v>0</v>
      </c>
      <c r="P75" s="20" t="n">
        <v>0</v>
      </c>
      <c r="Q75" s="18" t="n">
        <v>0</v>
      </c>
      <c r="R75" s="20" t="n">
        <v>0</v>
      </c>
      <c r="S75" s="18" t="n">
        <v>18.29289293</v>
      </c>
      <c r="T75" s="20" t="n">
        <v>2.3227265</v>
      </c>
    </row>
    <row r="76" spans="1:20">
      <c r="A76" s="15" t="s">
        <v>418</v>
      </c>
      <c r="B76" s="17" t="n">
        <v>7115</v>
      </c>
      <c r="C76" s="18">
        <f>(6242.0/B76*100)</f>
        <v/>
      </c>
      <c r="D76" s="19" t="n">
        <v>873</v>
      </c>
      <c r="E76" s="18" t="n">
        <v>38.65971579</v>
      </c>
      <c r="F76" s="20" t="n">
        <v>1.84985549</v>
      </c>
      <c r="G76" s="18" t="n">
        <v>29.65883616</v>
      </c>
      <c r="H76" s="20" t="n">
        <v>1.83385333</v>
      </c>
      <c r="I76" s="18" t="n">
        <v>22.91838882</v>
      </c>
      <c r="J76" s="20" t="n">
        <v>1.72965595</v>
      </c>
      <c r="K76" s="18" t="s">
        <v>349</v>
      </c>
      <c r="L76" s="20" t="s">
        <v>349</v>
      </c>
      <c r="M76" s="18" t="n">
        <v>0.86702111</v>
      </c>
      <c r="N76" s="20" t="n">
        <v>0.47195892</v>
      </c>
      <c r="O76" s="18" t="n">
        <v>0</v>
      </c>
      <c r="P76" s="20" t="n">
        <v>0</v>
      </c>
      <c r="Q76" s="18" t="n">
        <v>0</v>
      </c>
      <c r="R76" s="20" t="n">
        <v>0</v>
      </c>
      <c r="S76" s="18" t="n">
        <v>7.89603812</v>
      </c>
      <c r="T76" s="20" t="n">
        <v>1.22618897</v>
      </c>
    </row>
    <row r="77" spans="1:20">
      <c r="A77" s="15" t="s">
        <v>419</v>
      </c>
      <c r="B77" s="17" t="n">
        <v>3154</v>
      </c>
      <c r="C77" s="18">
        <f>(2777.0/B77*100)</f>
        <v/>
      </c>
      <c r="D77" s="19" t="n">
        <v>377</v>
      </c>
      <c r="E77" s="18" t="n">
        <v>18.69973906</v>
      </c>
      <c r="F77" s="20" t="n">
        <v>2.18187001</v>
      </c>
      <c r="G77" s="18" t="n">
        <v>18.79454051</v>
      </c>
      <c r="H77" s="20" t="n">
        <v>2.24226727</v>
      </c>
      <c r="I77" s="18" t="n">
        <v>29.13550699</v>
      </c>
      <c r="J77" s="20" t="n">
        <v>2.32483161</v>
      </c>
      <c r="K77" s="18" t="s">
        <v>349</v>
      </c>
      <c r="L77" s="20" t="s">
        <v>349</v>
      </c>
      <c r="M77" s="18" t="n">
        <v>0.36562901</v>
      </c>
      <c r="N77" s="20" t="n">
        <v>0.28120534</v>
      </c>
      <c r="O77" s="18" t="n">
        <v>2.39752257</v>
      </c>
      <c r="P77" s="20" t="n">
        <v>0.62378928</v>
      </c>
      <c r="Q77" s="18" t="n">
        <v>0</v>
      </c>
      <c r="R77" s="20" t="n">
        <v>0</v>
      </c>
      <c r="S77" s="18" t="n">
        <v>30.60706186</v>
      </c>
      <c r="T77" s="20" t="n">
        <v>2.54845169</v>
      </c>
    </row>
    <row r="78" spans="1:20">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row>
    <row customHeight="1" ht="25" r="79" spans="1:20">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row>
    <row r="80" spans="1:20">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(3066.0/B11*100)</f>
        <v/>
      </c>
      <c r="D11" s="19" t="n">
        <v>434</v>
      </c>
      <c r="E11" s="18" t="n">
        <v>55.23082734</v>
      </c>
      <c r="F11" s="20" t="n">
        <v>2.69608193</v>
      </c>
      <c r="G11" s="18" t="n">
        <v>43.99226305</v>
      </c>
      <c r="H11" s="20" t="n">
        <v>2.74595195</v>
      </c>
      <c r="I11" s="18" t="s">
        <v>349</v>
      </c>
      <c r="J11" s="20" t="s">
        <v>349</v>
      </c>
      <c r="K11" s="18" t="n">
        <v>0.7092548400000001</v>
      </c>
      <c r="L11" s="20" t="n">
        <v>0.42667653</v>
      </c>
      <c r="M11" s="18" t="n">
        <v>0</v>
      </c>
      <c r="N11" s="20" t="n">
        <v>0</v>
      </c>
      <c r="O11" s="18" t="n">
        <v>0</v>
      </c>
      <c r="P11" s="20" t="n">
        <v>0</v>
      </c>
      <c r="Q11" s="18" t="n">
        <v>0.06765477</v>
      </c>
      <c r="R11" s="20" t="n">
        <v>0.06814104</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(3386.0/B28*100)</f>
        <v/>
      </c>
      <c r="D28" s="19" t="n">
        <v>417</v>
      </c>
      <c r="E28" s="18" t="n">
        <v>59.14644177</v>
      </c>
      <c r="F28" s="20" t="n">
        <v>2.41490799</v>
      </c>
      <c r="G28" s="18" t="n">
        <v>39.04172897</v>
      </c>
      <c r="H28" s="20" t="n">
        <v>2.31101021</v>
      </c>
      <c r="I28" s="18" t="s">
        <v>349</v>
      </c>
      <c r="J28" s="20" t="s">
        <v>349</v>
      </c>
      <c r="K28" s="18" t="n">
        <v>1.49087996</v>
      </c>
      <c r="L28" s="20" t="n">
        <v>0.73444175</v>
      </c>
      <c r="M28" s="18" t="n">
        <v>0</v>
      </c>
      <c r="N28" s="20" t="n">
        <v>0</v>
      </c>
      <c r="O28" s="18" t="n">
        <v>0</v>
      </c>
      <c r="P28" s="20" t="n">
        <v>0</v>
      </c>
      <c r="Q28" s="18" t="n">
        <v>0.3209493</v>
      </c>
      <c r="R28" s="20" t="n">
        <v>0.22795858</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(10859.0/B46*100)</f>
        <v/>
      </c>
      <c r="D46" s="19" t="n">
        <v>1214</v>
      </c>
      <c r="E46" s="18" t="n">
        <v>48.2618632</v>
      </c>
      <c r="F46" s="20" t="n">
        <v>1.80669142</v>
      </c>
      <c r="G46" s="18" t="n">
        <v>49.45241582</v>
      </c>
      <c r="H46" s="20" t="n">
        <v>1.81677854</v>
      </c>
      <c r="I46" s="18" t="s">
        <v>349</v>
      </c>
      <c r="J46" s="20" t="s">
        <v>349</v>
      </c>
      <c r="K46" s="18" t="n">
        <v>1.81442695</v>
      </c>
      <c r="L46" s="20" t="n">
        <v>0.51945913</v>
      </c>
      <c r="M46" s="18" t="n">
        <v>0</v>
      </c>
      <c r="N46" s="20" t="n">
        <v>0</v>
      </c>
      <c r="O46" s="18" t="n">
        <v>0</v>
      </c>
      <c r="P46" s="20" t="n">
        <v>0</v>
      </c>
      <c r="Q46" s="18" t="n">
        <v>0.47129403</v>
      </c>
      <c r="R46" s="20" t="n">
        <v>0.21465427</v>
      </c>
    </row>
    <row r="47" spans="1:18">
      <c r="A47" s="15" t="s">
        <v>389</v>
      </c>
      <c r="B47" s="17" t="n">
        <v>2823</v>
      </c>
      <c r="C47" s="18">
        <f>(2484.0/B47*100)</f>
        <v/>
      </c>
      <c r="D47" s="19" t="n">
        <v>339</v>
      </c>
      <c r="E47" s="18" t="n">
        <v>46.53478964</v>
      </c>
      <c r="F47" s="20" t="n">
        <v>2.32403319</v>
      </c>
      <c r="G47" s="18" t="n">
        <v>53.1406468</v>
      </c>
      <c r="H47" s="20" t="n">
        <v>2.36308569</v>
      </c>
      <c r="I47" s="18" t="s">
        <v>349</v>
      </c>
      <c r="J47" s="20" t="s">
        <v>349</v>
      </c>
      <c r="K47" s="18" t="n">
        <v>0.32456356</v>
      </c>
      <c r="L47" s="20" t="n">
        <v>0.35166897</v>
      </c>
      <c r="M47" s="18" t="n">
        <v>0</v>
      </c>
      <c r="N47" s="20" t="n">
        <v>0</v>
      </c>
      <c r="O47" s="18" t="n">
        <v>0</v>
      </c>
      <c r="P47" s="20" t="n">
        <v>0</v>
      </c>
      <c r="Q47" s="18" t="n">
        <v>0</v>
      </c>
      <c r="R47" s="20" t="n">
        <v>0</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(5444.0/B50*100)</f>
        <v/>
      </c>
      <c r="D50" s="19" t="n">
        <v>714</v>
      </c>
      <c r="E50" s="18" t="n">
        <v>48.86717077</v>
      </c>
      <c r="F50" s="20" t="n">
        <v>2.35329448</v>
      </c>
      <c r="G50" s="18" t="n">
        <v>46.34985604</v>
      </c>
      <c r="H50" s="20" t="n">
        <v>2.20224634</v>
      </c>
      <c r="I50" s="18" t="s">
        <v>349</v>
      </c>
      <c r="J50" s="20" t="s">
        <v>349</v>
      </c>
      <c r="K50" s="18" t="n">
        <v>2.8088183</v>
      </c>
      <c r="L50" s="20" t="n">
        <v>0.9517631</v>
      </c>
      <c r="M50" s="18" t="n">
        <v>0</v>
      </c>
      <c r="N50" s="20" t="n">
        <v>0</v>
      </c>
      <c r="O50" s="18" t="n">
        <v>0</v>
      </c>
      <c r="P50" s="20" t="n">
        <v>0</v>
      </c>
      <c r="Q50" s="18" t="n">
        <v>1.97415489</v>
      </c>
      <c r="R50" s="20" t="n">
        <v>0.64251835</v>
      </c>
    </row>
    <row r="51" spans="1:18">
      <c r="A51" s="15" t="s">
        <v>393</v>
      </c>
      <c r="B51" s="17" t="n">
        <v>3494</v>
      </c>
      <c r="C51" s="18">
        <f>(3126.0/B51*100)</f>
        <v/>
      </c>
      <c r="D51" s="19" t="n">
        <v>368</v>
      </c>
      <c r="E51" s="18" t="n">
        <v>54.46247497</v>
      </c>
      <c r="F51" s="20" t="n">
        <v>2.90865949</v>
      </c>
      <c r="G51" s="18" t="n">
        <v>44.57610662</v>
      </c>
      <c r="H51" s="20" t="n">
        <v>2.88742535</v>
      </c>
      <c r="I51" s="18" t="s">
        <v>349</v>
      </c>
      <c r="J51" s="20" t="s">
        <v>349</v>
      </c>
      <c r="K51" s="18" t="n">
        <v>0.36844474</v>
      </c>
      <c r="L51" s="20" t="n">
        <v>0.36781096</v>
      </c>
      <c r="M51" s="18" t="n">
        <v>0</v>
      </c>
      <c r="N51" s="20" t="n">
        <v>0</v>
      </c>
      <c r="O51" s="18" t="n">
        <v>0</v>
      </c>
      <c r="P51" s="20" t="n">
        <v>0</v>
      </c>
      <c r="Q51" s="18" t="n">
        <v>0.59297367</v>
      </c>
      <c r="R51" s="20" t="n">
        <v>0.42323565</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(2423.0/B53*100)</f>
        <v/>
      </c>
      <c r="D53" s="19" t="n">
        <v>337</v>
      </c>
      <c r="E53" s="18" t="n">
        <v>49.01616366</v>
      </c>
      <c r="F53" s="20" t="n">
        <v>2.7877918</v>
      </c>
      <c r="G53" s="18" t="n">
        <v>49.28234082</v>
      </c>
      <c r="H53" s="20" t="n">
        <v>2.81565759</v>
      </c>
      <c r="I53" s="18" t="s">
        <v>349</v>
      </c>
      <c r="J53" s="20" t="s">
        <v>349</v>
      </c>
      <c r="K53" s="18" t="n">
        <v>0.91195985</v>
      </c>
      <c r="L53" s="20" t="n">
        <v>0.52895292</v>
      </c>
      <c r="M53" s="18" t="n">
        <v>0</v>
      </c>
      <c r="N53" s="20" t="n">
        <v>0</v>
      </c>
      <c r="O53" s="18" t="n">
        <v>0</v>
      </c>
      <c r="P53" s="20" t="n">
        <v>0</v>
      </c>
      <c r="Q53" s="18" t="n">
        <v>0.78953568</v>
      </c>
      <c r="R53" s="20" t="n">
        <v>0.56069627</v>
      </c>
    </row>
    <row r="54" spans="1:18">
      <c r="A54" s="15" t="s">
        <v>396</v>
      </c>
      <c r="B54" s="17" t="n">
        <v>2474</v>
      </c>
      <c r="C54" s="18">
        <f>(2054.0/B54*100)</f>
        <v/>
      </c>
      <c r="D54" s="19" t="n">
        <v>420</v>
      </c>
      <c r="E54" s="18" t="n">
        <v>54.26780126</v>
      </c>
      <c r="F54" s="20" t="n">
        <v>2.88340517</v>
      </c>
      <c r="G54" s="18" t="n">
        <v>32.94413625</v>
      </c>
      <c r="H54" s="20" t="n">
        <v>2.77857446</v>
      </c>
      <c r="I54" s="18" t="s">
        <v>349</v>
      </c>
      <c r="J54" s="20" t="s">
        <v>349</v>
      </c>
      <c r="K54" s="18" t="n">
        <v>10.54602655</v>
      </c>
      <c r="L54" s="20" t="n">
        <v>1.57674115</v>
      </c>
      <c r="M54" s="18" t="n">
        <v>0</v>
      </c>
      <c r="N54" s="20" t="n">
        <v>0</v>
      </c>
      <c r="O54" s="18" t="n">
        <v>0</v>
      </c>
      <c r="P54" s="20" t="n">
        <v>0</v>
      </c>
      <c r="Q54" s="18" t="n">
        <v>2.24203593</v>
      </c>
      <c r="R54" s="20" t="n">
        <v>0.66653848</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(3075.0/B67*100)</f>
        <v/>
      </c>
      <c r="D67" s="19" t="n">
        <v>385</v>
      </c>
      <c r="E67" s="18" t="n">
        <v>57.23337649</v>
      </c>
      <c r="F67" s="20" t="n">
        <v>3.25959494</v>
      </c>
      <c r="G67" s="18" t="n">
        <v>41.63226681</v>
      </c>
      <c r="H67" s="20" t="n">
        <v>3.28587199</v>
      </c>
      <c r="I67" s="18" t="s">
        <v>349</v>
      </c>
      <c r="J67" s="20" t="s">
        <v>349</v>
      </c>
      <c r="K67" s="18" t="n">
        <v>0.55436199</v>
      </c>
      <c r="L67" s="20" t="n">
        <v>0.40781972</v>
      </c>
      <c r="M67" s="18" t="n">
        <v>0</v>
      </c>
      <c r="N67" s="20" t="n">
        <v>0</v>
      </c>
      <c r="O67" s="18" t="n">
        <v>0</v>
      </c>
      <c r="P67" s="20" t="n">
        <v>0</v>
      </c>
      <c r="Q67" s="18" t="n">
        <v>0.5799947</v>
      </c>
      <c r="R67" s="20" t="n">
        <v>0.32131614</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(2623.0/B75*100)</f>
        <v/>
      </c>
      <c r="D75" s="19" t="n">
        <v>346</v>
      </c>
      <c r="E75" s="18" t="n">
        <v>47.58321438</v>
      </c>
      <c r="F75" s="20" t="n">
        <v>2.60108321</v>
      </c>
      <c r="G75" s="18" t="n">
        <v>46.02825412</v>
      </c>
      <c r="H75" s="20" t="n">
        <v>2.54405757</v>
      </c>
      <c r="I75" s="18" t="s">
        <v>349</v>
      </c>
      <c r="J75" s="20" t="s">
        <v>349</v>
      </c>
      <c r="K75" s="18" t="n">
        <v>4.65496924</v>
      </c>
      <c r="L75" s="20" t="n">
        <v>1.17570721</v>
      </c>
      <c r="M75" s="18" t="n">
        <v>0</v>
      </c>
      <c r="N75" s="20" t="n">
        <v>0</v>
      </c>
      <c r="O75" s="18" t="n">
        <v>0</v>
      </c>
      <c r="P75" s="20" t="n">
        <v>0</v>
      </c>
      <c r="Q75" s="18" t="n">
        <v>1.73356226</v>
      </c>
      <c r="R75" s="20" t="n">
        <v>0.73600107</v>
      </c>
    </row>
    <row r="76" spans="1:18">
      <c r="A76" s="15" t="s">
        <v>418</v>
      </c>
      <c r="B76" s="17" t="n">
        <v>7115</v>
      </c>
      <c r="C76" s="18">
        <f>(6241.0/B76*100)</f>
        <v/>
      </c>
      <c r="D76" s="19" t="n">
        <v>874</v>
      </c>
      <c r="E76" s="18" t="n">
        <v>50.05985897</v>
      </c>
      <c r="F76" s="20" t="n">
        <v>2.37595266</v>
      </c>
      <c r="G76" s="18" t="n">
        <v>48.64571235</v>
      </c>
      <c r="H76" s="20" t="n">
        <v>2.42680783</v>
      </c>
      <c r="I76" s="18" t="s">
        <v>349</v>
      </c>
      <c r="J76" s="20" t="s">
        <v>349</v>
      </c>
      <c r="K76" s="18" t="n">
        <v>0.86664201</v>
      </c>
      <c r="L76" s="20" t="n">
        <v>0.47175016</v>
      </c>
      <c r="M76" s="18" t="n">
        <v>0</v>
      </c>
      <c r="N76" s="20" t="n">
        <v>0</v>
      </c>
      <c r="O76" s="18" t="n">
        <v>0</v>
      </c>
      <c r="P76" s="20" t="n">
        <v>0</v>
      </c>
      <c r="Q76" s="18" t="n">
        <v>0.42778666</v>
      </c>
      <c r="R76" s="20" t="n">
        <v>0.1749751</v>
      </c>
    </row>
    <row r="77" spans="1:18">
      <c r="A77" s="15" t="s">
        <v>419</v>
      </c>
      <c r="B77" s="17" t="n">
        <v>3154</v>
      </c>
      <c r="C77" s="18">
        <f>(2780.0/B77*100)</f>
        <v/>
      </c>
      <c r="D77" s="19" t="n">
        <v>374</v>
      </c>
      <c r="E77" s="18" t="n">
        <v>49.04753636</v>
      </c>
      <c r="F77" s="20" t="n">
        <v>2.54992318</v>
      </c>
      <c r="G77" s="18" t="n">
        <v>48.64060092</v>
      </c>
      <c r="H77" s="20" t="n">
        <v>2.60758924</v>
      </c>
      <c r="I77" s="18" t="s">
        <v>349</v>
      </c>
      <c r="J77" s="20" t="s">
        <v>349</v>
      </c>
      <c r="K77" s="18" t="n">
        <v>1.12059952</v>
      </c>
      <c r="L77" s="20" t="n">
        <v>0.51156348</v>
      </c>
      <c r="M77" s="18" t="n">
        <v>0</v>
      </c>
      <c r="N77" s="20" t="n">
        <v>0</v>
      </c>
      <c r="O77" s="18" t="n">
        <v>0</v>
      </c>
      <c r="P77" s="20" t="n">
        <v>0</v>
      </c>
      <c r="Q77" s="18" t="n">
        <v>1.1912632</v>
      </c>
      <c r="R77" s="20" t="n">
        <v>0.56169853</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(3066.0/B11*100)</f>
        <v/>
      </c>
      <c r="D11" s="19" t="n">
        <v>434</v>
      </c>
      <c r="E11" s="18" t="n">
        <v>63.7718537</v>
      </c>
      <c r="F11" s="20" t="n">
        <v>2.64484194</v>
      </c>
      <c r="G11" s="18" t="n">
        <v>35.2187871</v>
      </c>
      <c r="H11" s="20" t="n">
        <v>2.69142966</v>
      </c>
      <c r="I11" s="18" t="s">
        <v>349</v>
      </c>
      <c r="J11" s="20" t="s">
        <v>349</v>
      </c>
      <c r="K11" s="18" t="n">
        <v>1.0093592</v>
      </c>
      <c r="L11" s="20" t="n">
        <v>0.5001600899999999</v>
      </c>
      <c r="M11" s="18" t="n">
        <v>0</v>
      </c>
      <c r="N11" s="20" t="n">
        <v>0</v>
      </c>
      <c r="O11" s="18" t="n">
        <v>0</v>
      </c>
      <c r="P11" s="20" t="n">
        <v>0</v>
      </c>
      <c r="Q11" s="18" t="n">
        <v>0</v>
      </c>
      <c r="R11" s="20" t="n">
        <v>0</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(3387.0/B28*100)</f>
        <v/>
      </c>
      <c r="D28" s="19" t="n">
        <v>416</v>
      </c>
      <c r="E28" s="18" t="n">
        <v>69.62855777</v>
      </c>
      <c r="F28" s="20" t="n">
        <v>2.48671244</v>
      </c>
      <c r="G28" s="18" t="n">
        <v>28.40459804</v>
      </c>
      <c r="H28" s="20" t="n">
        <v>2.41724663</v>
      </c>
      <c r="I28" s="18" t="s">
        <v>349</v>
      </c>
      <c r="J28" s="20" t="s">
        <v>349</v>
      </c>
      <c r="K28" s="18" t="n">
        <v>1.49391263</v>
      </c>
      <c r="L28" s="20" t="n">
        <v>0.735896</v>
      </c>
      <c r="M28" s="18" t="n">
        <v>0</v>
      </c>
      <c r="N28" s="20" t="n">
        <v>0</v>
      </c>
      <c r="O28" s="18" t="n">
        <v>0</v>
      </c>
      <c r="P28" s="20" t="n">
        <v>0</v>
      </c>
      <c r="Q28" s="18" t="n">
        <v>0.47293156</v>
      </c>
      <c r="R28" s="20" t="n">
        <v>0.12416053</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(10872.0/B46*100)</f>
        <v/>
      </c>
      <c r="D46" s="19" t="n">
        <v>1201</v>
      </c>
      <c r="E46" s="18" t="n">
        <v>75.11524373</v>
      </c>
      <c r="F46" s="20" t="n">
        <v>1.644529</v>
      </c>
      <c r="G46" s="18" t="n">
        <v>22.05285354</v>
      </c>
      <c r="H46" s="20" t="n">
        <v>1.6787618</v>
      </c>
      <c r="I46" s="18" t="s">
        <v>349</v>
      </c>
      <c r="J46" s="20" t="s">
        <v>349</v>
      </c>
      <c r="K46" s="18" t="n">
        <v>2.00068713</v>
      </c>
      <c r="L46" s="20" t="n">
        <v>0.54613362</v>
      </c>
      <c r="M46" s="18" t="n">
        <v>0</v>
      </c>
      <c r="N46" s="20" t="n">
        <v>0</v>
      </c>
      <c r="O46" s="18" t="n">
        <v>0</v>
      </c>
      <c r="P46" s="20" t="n">
        <v>0</v>
      </c>
      <c r="Q46" s="18" t="n">
        <v>0.8312156000000001</v>
      </c>
      <c r="R46" s="20" t="n">
        <v>0.29853256</v>
      </c>
    </row>
    <row r="47" spans="1:18">
      <c r="A47" s="15" t="s">
        <v>389</v>
      </c>
      <c r="B47" s="17" t="n">
        <v>2823</v>
      </c>
      <c r="C47" s="18">
        <f>(2485.0/B47*100)</f>
        <v/>
      </c>
      <c r="D47" s="19" t="n">
        <v>338</v>
      </c>
      <c r="E47" s="18" t="n">
        <v>60.59215671</v>
      </c>
      <c r="F47" s="20" t="n">
        <v>2.89168281</v>
      </c>
      <c r="G47" s="18" t="n">
        <v>38.48901655</v>
      </c>
      <c r="H47" s="20" t="n">
        <v>2.902434</v>
      </c>
      <c r="I47" s="18" t="s">
        <v>349</v>
      </c>
      <c r="J47" s="20" t="s">
        <v>349</v>
      </c>
      <c r="K47" s="18" t="n">
        <v>0.62585297</v>
      </c>
      <c r="L47" s="20" t="n">
        <v>0.46178578</v>
      </c>
      <c r="M47" s="18" t="n">
        <v>0</v>
      </c>
      <c r="N47" s="20" t="n">
        <v>0</v>
      </c>
      <c r="O47" s="18" t="n">
        <v>0</v>
      </c>
      <c r="P47" s="20" t="n">
        <v>0</v>
      </c>
      <c r="Q47" s="18" t="n">
        <v>0.29297377</v>
      </c>
      <c r="R47" s="20" t="n">
        <v>0.29362344</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(5444.0/B50*100)</f>
        <v/>
      </c>
      <c r="D50" s="19" t="n">
        <v>714</v>
      </c>
      <c r="E50" s="18" t="n">
        <v>64.43474449</v>
      </c>
      <c r="F50" s="20" t="n">
        <v>1.73645904</v>
      </c>
      <c r="G50" s="18" t="n">
        <v>31.52716677</v>
      </c>
      <c r="H50" s="20" t="n">
        <v>1.79927339</v>
      </c>
      <c r="I50" s="18" t="s">
        <v>349</v>
      </c>
      <c r="J50" s="20" t="s">
        <v>349</v>
      </c>
      <c r="K50" s="18" t="n">
        <v>2.85182671</v>
      </c>
      <c r="L50" s="20" t="n">
        <v>0.95183282</v>
      </c>
      <c r="M50" s="18" t="n">
        <v>0</v>
      </c>
      <c r="N50" s="20" t="n">
        <v>0</v>
      </c>
      <c r="O50" s="18" t="n">
        <v>0</v>
      </c>
      <c r="P50" s="20" t="n">
        <v>0</v>
      </c>
      <c r="Q50" s="18" t="n">
        <v>1.18626203</v>
      </c>
      <c r="R50" s="20" t="n">
        <v>0.63234195</v>
      </c>
    </row>
    <row r="51" spans="1:18">
      <c r="A51" s="15" t="s">
        <v>393</v>
      </c>
      <c r="B51" s="17" t="n">
        <v>3494</v>
      </c>
      <c r="C51" s="18">
        <f>(3127.0/B51*100)</f>
        <v/>
      </c>
      <c r="D51" s="19" t="n">
        <v>367</v>
      </c>
      <c r="E51" s="18" t="n">
        <v>79.25607100000001</v>
      </c>
      <c r="F51" s="20" t="n">
        <v>2.64145662</v>
      </c>
      <c r="G51" s="18" t="n">
        <v>19.95105849</v>
      </c>
      <c r="H51" s="20" t="n">
        <v>2.61604395</v>
      </c>
      <c r="I51" s="18" t="s">
        <v>349</v>
      </c>
      <c r="J51" s="20" t="s">
        <v>349</v>
      </c>
      <c r="K51" s="18" t="n">
        <v>0.65950665</v>
      </c>
      <c r="L51" s="20" t="n">
        <v>0.46306292</v>
      </c>
      <c r="M51" s="18" t="n">
        <v>0</v>
      </c>
      <c r="N51" s="20" t="n">
        <v>0</v>
      </c>
      <c r="O51" s="18" t="n">
        <v>0</v>
      </c>
      <c r="P51" s="20" t="n">
        <v>0</v>
      </c>
      <c r="Q51" s="18" t="n">
        <v>0.13336386</v>
      </c>
      <c r="R51" s="20" t="n">
        <v>0.13651198</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(2423.0/B53*100)</f>
        <v/>
      </c>
      <c r="D53" s="19" t="n">
        <v>337</v>
      </c>
      <c r="E53" s="18" t="n">
        <v>60.4973428</v>
      </c>
      <c r="F53" s="20" t="n">
        <v>2.88251171</v>
      </c>
      <c r="G53" s="18" t="n">
        <v>37.73653384</v>
      </c>
      <c r="H53" s="20" t="n">
        <v>2.97943667</v>
      </c>
      <c r="I53" s="18" t="s">
        <v>349</v>
      </c>
      <c r="J53" s="20" t="s">
        <v>349</v>
      </c>
      <c r="K53" s="18" t="n">
        <v>0.91195985</v>
      </c>
      <c r="L53" s="20" t="n">
        <v>0.52895292</v>
      </c>
      <c r="M53" s="18" t="n">
        <v>0</v>
      </c>
      <c r="N53" s="20" t="n">
        <v>0</v>
      </c>
      <c r="O53" s="18" t="n">
        <v>0</v>
      </c>
      <c r="P53" s="20" t="n">
        <v>0</v>
      </c>
      <c r="Q53" s="18" t="n">
        <v>0.85416352</v>
      </c>
      <c r="R53" s="20" t="n">
        <v>0.50144142</v>
      </c>
    </row>
    <row r="54" spans="1:18">
      <c r="A54" s="15" t="s">
        <v>396</v>
      </c>
      <c r="B54" s="17" t="n">
        <v>2474</v>
      </c>
      <c r="C54" s="18">
        <f>(2054.0/B54*100)</f>
        <v/>
      </c>
      <c r="D54" s="19" t="n">
        <v>420</v>
      </c>
      <c r="E54" s="18" t="n">
        <v>71.96033608</v>
      </c>
      <c r="F54" s="20" t="n">
        <v>2.45438015</v>
      </c>
      <c r="G54" s="18" t="n">
        <v>15.99676735</v>
      </c>
      <c r="H54" s="20" t="n">
        <v>2.07110215</v>
      </c>
      <c r="I54" s="18" t="s">
        <v>349</v>
      </c>
      <c r="J54" s="20" t="s">
        <v>349</v>
      </c>
      <c r="K54" s="18" t="n">
        <v>11.27446214</v>
      </c>
      <c r="L54" s="20" t="n">
        <v>1.73244018</v>
      </c>
      <c r="M54" s="18" t="n">
        <v>0</v>
      </c>
      <c r="N54" s="20" t="n">
        <v>0</v>
      </c>
      <c r="O54" s="18" t="n">
        <v>0</v>
      </c>
      <c r="P54" s="20" t="n">
        <v>0</v>
      </c>
      <c r="Q54" s="18" t="n">
        <v>0.76843443</v>
      </c>
      <c r="R54" s="20" t="n">
        <v>0.38338568</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(3078.0/B67*100)</f>
        <v/>
      </c>
      <c r="D67" s="19" t="n">
        <v>382</v>
      </c>
      <c r="E67" s="18" t="n">
        <v>60.96141394</v>
      </c>
      <c r="F67" s="20" t="n">
        <v>2.57154235</v>
      </c>
      <c r="G67" s="18" t="n">
        <v>37.28360317</v>
      </c>
      <c r="H67" s="20" t="n">
        <v>2.5846403</v>
      </c>
      <c r="I67" s="18" t="s">
        <v>349</v>
      </c>
      <c r="J67" s="20" t="s">
        <v>349</v>
      </c>
      <c r="K67" s="18" t="n">
        <v>0.55795925</v>
      </c>
      <c r="L67" s="20" t="n">
        <v>0.41040648</v>
      </c>
      <c r="M67" s="18" t="n">
        <v>0</v>
      </c>
      <c r="N67" s="20" t="n">
        <v>0</v>
      </c>
      <c r="O67" s="18" t="n">
        <v>0</v>
      </c>
      <c r="P67" s="20" t="n">
        <v>0</v>
      </c>
      <c r="Q67" s="18" t="n">
        <v>1.19702363</v>
      </c>
      <c r="R67" s="20" t="n">
        <v>0.60983736</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(2624.0/B75*100)</f>
        <v/>
      </c>
      <c r="D75" s="19" t="n">
        <v>345</v>
      </c>
      <c r="E75" s="18" t="n">
        <v>64.67930061</v>
      </c>
      <c r="F75" s="20" t="n">
        <v>2.57342457</v>
      </c>
      <c r="G75" s="18" t="n">
        <v>29.43699103</v>
      </c>
      <c r="H75" s="20" t="n">
        <v>2.36906105</v>
      </c>
      <c r="I75" s="18" t="s">
        <v>349</v>
      </c>
      <c r="J75" s="20" t="s">
        <v>349</v>
      </c>
      <c r="K75" s="18" t="n">
        <v>5.32621155</v>
      </c>
      <c r="L75" s="20" t="n">
        <v>1.35694392</v>
      </c>
      <c r="M75" s="18" t="n">
        <v>0</v>
      </c>
      <c r="N75" s="20" t="n">
        <v>0</v>
      </c>
      <c r="O75" s="18" t="n">
        <v>0</v>
      </c>
      <c r="P75" s="20" t="n">
        <v>0</v>
      </c>
      <c r="Q75" s="18" t="n">
        <v>0.55749681</v>
      </c>
      <c r="R75" s="20" t="n">
        <v>0.39469558</v>
      </c>
    </row>
    <row r="76" spans="1:18">
      <c r="A76" s="15" t="s">
        <v>418</v>
      </c>
      <c r="B76" s="17" t="n">
        <v>7115</v>
      </c>
      <c r="C76" s="18">
        <f>(6241.0/B76*100)</f>
        <v/>
      </c>
      <c r="D76" s="19" t="n">
        <v>874</v>
      </c>
      <c r="E76" s="18" t="n">
        <v>60.65880376</v>
      </c>
      <c r="F76" s="20" t="n">
        <v>1.9011007</v>
      </c>
      <c r="G76" s="18" t="n">
        <v>37.44812411</v>
      </c>
      <c r="H76" s="20" t="n">
        <v>1.90707639</v>
      </c>
      <c r="I76" s="18" t="s">
        <v>349</v>
      </c>
      <c r="J76" s="20" t="s">
        <v>349</v>
      </c>
      <c r="K76" s="18" t="n">
        <v>0.86664201</v>
      </c>
      <c r="L76" s="20" t="n">
        <v>0.47175016</v>
      </c>
      <c r="M76" s="18" t="n">
        <v>0</v>
      </c>
      <c r="N76" s="20" t="n">
        <v>0</v>
      </c>
      <c r="O76" s="18" t="n">
        <v>0</v>
      </c>
      <c r="P76" s="20" t="n">
        <v>0</v>
      </c>
      <c r="Q76" s="18" t="n">
        <v>1.02643012</v>
      </c>
      <c r="R76" s="20" t="n">
        <v>0.37878641</v>
      </c>
    </row>
    <row r="77" spans="1:18">
      <c r="A77" s="15" t="s">
        <v>419</v>
      </c>
      <c r="B77" s="17" t="n">
        <v>3154</v>
      </c>
      <c r="C77" s="18">
        <f>(2780.0/B77*100)</f>
        <v/>
      </c>
      <c r="D77" s="19" t="n">
        <v>374</v>
      </c>
      <c r="E77" s="18" t="n">
        <v>61.5175209</v>
      </c>
      <c r="F77" s="20" t="n">
        <v>2.69334528</v>
      </c>
      <c r="G77" s="18" t="n">
        <v>35.59262051</v>
      </c>
      <c r="H77" s="20" t="n">
        <v>2.69315967</v>
      </c>
      <c r="I77" s="18" t="s">
        <v>349</v>
      </c>
      <c r="J77" s="20" t="s">
        <v>349</v>
      </c>
      <c r="K77" s="18" t="n">
        <v>1.12059952</v>
      </c>
      <c r="L77" s="20" t="n">
        <v>0.51156348</v>
      </c>
      <c r="M77" s="18" t="n">
        <v>0</v>
      </c>
      <c r="N77" s="20" t="n">
        <v>0</v>
      </c>
      <c r="O77" s="18" t="n">
        <v>0</v>
      </c>
      <c r="P77" s="20" t="n">
        <v>0</v>
      </c>
      <c r="Q77" s="18" t="n">
        <v>1.76925906</v>
      </c>
      <c r="R77" s="20" t="n">
        <v>0.64790984</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(3068.0/B11*100)</f>
        <v/>
      </c>
      <c r="D11" s="19" t="n">
        <v>432</v>
      </c>
      <c r="E11" s="18" t="n">
        <v>65.86390034999999</v>
      </c>
      <c r="F11" s="20" t="n">
        <v>2.62938685</v>
      </c>
      <c r="G11" s="18" t="n">
        <v>23.23129934</v>
      </c>
      <c r="H11" s="20" t="n">
        <v>2.09621065</v>
      </c>
      <c r="I11" s="18" t="s">
        <v>349</v>
      </c>
      <c r="J11" s="20" t="s">
        <v>349</v>
      </c>
      <c r="K11" s="18" t="n">
        <v>2.66981642</v>
      </c>
      <c r="L11" s="20" t="n">
        <v>0.7650801</v>
      </c>
      <c r="M11" s="18" t="n">
        <v>0</v>
      </c>
      <c r="N11" s="20" t="n">
        <v>0</v>
      </c>
      <c r="O11" s="18" t="n">
        <v>0</v>
      </c>
      <c r="P11" s="20" t="n">
        <v>0</v>
      </c>
      <c r="Q11" s="18" t="n">
        <v>8.234983890000001</v>
      </c>
      <c r="R11" s="20" t="n">
        <v>1.40179235</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(3392.0/B28*100)</f>
        <v/>
      </c>
      <c r="D28" s="19" t="n">
        <v>411</v>
      </c>
      <c r="E28" s="18" t="n">
        <v>73.71653723</v>
      </c>
      <c r="F28" s="20" t="n">
        <v>2.44789972</v>
      </c>
      <c r="G28" s="18" t="n">
        <v>22.46039559</v>
      </c>
      <c r="H28" s="20" t="n">
        <v>2.28412047</v>
      </c>
      <c r="I28" s="18" t="s">
        <v>349</v>
      </c>
      <c r="J28" s="20" t="s">
        <v>349</v>
      </c>
      <c r="K28" s="18" t="n">
        <v>1.72826134</v>
      </c>
      <c r="L28" s="20" t="n">
        <v>0.77979544</v>
      </c>
      <c r="M28" s="18" t="n">
        <v>0</v>
      </c>
      <c r="N28" s="20" t="n">
        <v>0</v>
      </c>
      <c r="O28" s="18" t="n">
        <v>0</v>
      </c>
      <c r="P28" s="20" t="n">
        <v>0</v>
      </c>
      <c r="Q28" s="18" t="n">
        <v>2.09480584</v>
      </c>
      <c r="R28" s="20" t="n">
        <v>0.8591595400000001</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(10909.0/B46*100)</f>
        <v/>
      </c>
      <c r="D46" s="19" t="n">
        <v>1164</v>
      </c>
      <c r="E46" s="18" t="n">
        <v>79.27304658</v>
      </c>
      <c r="F46" s="20" t="n">
        <v>1.71914168</v>
      </c>
      <c r="G46" s="18" t="n">
        <v>8.65195492</v>
      </c>
      <c r="H46" s="20" t="n">
        <v>1.25169458</v>
      </c>
      <c r="I46" s="18" t="s">
        <v>349</v>
      </c>
      <c r="J46" s="20" t="s">
        <v>349</v>
      </c>
      <c r="K46" s="18" t="n">
        <v>3.88823143</v>
      </c>
      <c r="L46" s="20" t="n">
        <v>0.85111553</v>
      </c>
      <c r="M46" s="18" t="n">
        <v>0</v>
      </c>
      <c r="N46" s="20" t="n">
        <v>0</v>
      </c>
      <c r="O46" s="18" t="n">
        <v>0</v>
      </c>
      <c r="P46" s="20" t="n">
        <v>0</v>
      </c>
      <c r="Q46" s="18" t="n">
        <v>8.18676707</v>
      </c>
      <c r="R46" s="20" t="n">
        <v>1.22818493</v>
      </c>
    </row>
    <row r="47" spans="1:18">
      <c r="A47" s="15" t="s">
        <v>389</v>
      </c>
      <c r="B47" s="17" t="n">
        <v>2823</v>
      </c>
      <c r="C47" s="18">
        <f>(2488.0/B47*100)</f>
        <v/>
      </c>
      <c r="D47" s="19" t="n">
        <v>335</v>
      </c>
      <c r="E47" s="18" t="n">
        <v>66.26512353</v>
      </c>
      <c r="F47" s="20" t="n">
        <v>3.02950639</v>
      </c>
      <c r="G47" s="18" t="n">
        <v>28.16564573</v>
      </c>
      <c r="H47" s="20" t="n">
        <v>2.91420242</v>
      </c>
      <c r="I47" s="18" t="s">
        <v>349</v>
      </c>
      <c r="J47" s="20" t="s">
        <v>349</v>
      </c>
      <c r="K47" s="18" t="n">
        <v>0.92689674</v>
      </c>
      <c r="L47" s="20" t="n">
        <v>0.5504099099999999</v>
      </c>
      <c r="M47" s="18" t="n">
        <v>0</v>
      </c>
      <c r="N47" s="20" t="n">
        <v>0</v>
      </c>
      <c r="O47" s="18" t="n">
        <v>0</v>
      </c>
      <c r="P47" s="20" t="n">
        <v>0</v>
      </c>
      <c r="Q47" s="18" t="n">
        <v>4.642334</v>
      </c>
      <c r="R47" s="20" t="n">
        <v>1.29633975</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(5453.0/B50*100)</f>
        <v/>
      </c>
      <c r="D50" s="19" t="n">
        <v>705</v>
      </c>
      <c r="E50" s="18" t="n">
        <v>78.81126561000001</v>
      </c>
      <c r="F50" s="20" t="n">
        <v>2.16776107</v>
      </c>
      <c r="G50" s="18" t="n">
        <v>16.2328013</v>
      </c>
      <c r="H50" s="20" t="n">
        <v>1.86833858</v>
      </c>
      <c r="I50" s="18" t="s">
        <v>349</v>
      </c>
      <c r="J50" s="20" t="s">
        <v>349</v>
      </c>
      <c r="K50" s="18" t="n">
        <v>3.89191891</v>
      </c>
      <c r="L50" s="20" t="n">
        <v>1.05108328</v>
      </c>
      <c r="M50" s="18" t="n">
        <v>0</v>
      </c>
      <c r="N50" s="20" t="n">
        <v>0</v>
      </c>
      <c r="O50" s="18" t="n">
        <v>0</v>
      </c>
      <c r="P50" s="20" t="n">
        <v>0</v>
      </c>
      <c r="Q50" s="18" t="n">
        <v>1.06401418</v>
      </c>
      <c r="R50" s="20" t="n">
        <v>0.36422183</v>
      </c>
    </row>
    <row r="51" spans="1:18">
      <c r="A51" s="15" t="s">
        <v>393</v>
      </c>
      <c r="B51" s="17" t="n">
        <v>3494</v>
      </c>
      <c r="C51" s="18">
        <f>(3134.0/B51*100)</f>
        <v/>
      </c>
      <c r="D51" s="19" t="n">
        <v>360</v>
      </c>
      <c r="E51" s="18" t="n">
        <v>80.42017598</v>
      </c>
      <c r="F51" s="20" t="n">
        <v>2.23046036</v>
      </c>
      <c r="G51" s="18" t="n">
        <v>13.11689351</v>
      </c>
      <c r="H51" s="20" t="n">
        <v>2.15889168</v>
      </c>
      <c r="I51" s="18" t="s">
        <v>349</v>
      </c>
      <c r="J51" s="20" t="s">
        <v>349</v>
      </c>
      <c r="K51" s="18" t="n">
        <v>2.06926539</v>
      </c>
      <c r="L51" s="20" t="n">
        <v>0.83763907</v>
      </c>
      <c r="M51" s="18" t="n">
        <v>0</v>
      </c>
      <c r="N51" s="20" t="n">
        <v>0</v>
      </c>
      <c r="O51" s="18" t="n">
        <v>0</v>
      </c>
      <c r="P51" s="20" t="n">
        <v>0</v>
      </c>
      <c r="Q51" s="18" t="n">
        <v>4.39366512</v>
      </c>
      <c r="R51" s="20" t="n">
        <v>1.15357544</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(2424.0/B53*100)</f>
        <v/>
      </c>
      <c r="D53" s="19" t="n">
        <v>336</v>
      </c>
      <c r="E53" s="18" t="n">
        <v>59.7202759</v>
      </c>
      <c r="F53" s="20" t="n">
        <v>2.99461755</v>
      </c>
      <c r="G53" s="18" t="n">
        <v>31.60342373</v>
      </c>
      <c r="H53" s="20" t="n">
        <v>2.86177998</v>
      </c>
      <c r="I53" s="18" t="s">
        <v>349</v>
      </c>
      <c r="J53" s="20" t="s">
        <v>349</v>
      </c>
      <c r="K53" s="18" t="n">
        <v>1.95619848</v>
      </c>
      <c r="L53" s="20" t="n">
        <v>0.6442332200000001</v>
      </c>
      <c r="M53" s="18" t="n">
        <v>0</v>
      </c>
      <c r="N53" s="20" t="n">
        <v>0</v>
      </c>
      <c r="O53" s="18" t="n">
        <v>0</v>
      </c>
      <c r="P53" s="20" t="n">
        <v>0</v>
      </c>
      <c r="Q53" s="18" t="n">
        <v>6.72010189</v>
      </c>
      <c r="R53" s="20" t="n">
        <v>1.51371229</v>
      </c>
    </row>
    <row r="54" spans="1:18">
      <c r="A54" s="15" t="s">
        <v>396</v>
      </c>
      <c r="B54" s="17" t="n">
        <v>2474</v>
      </c>
      <c r="C54" s="18">
        <f>(2054.0/B54*100)</f>
        <v/>
      </c>
      <c r="D54" s="19" t="n">
        <v>420</v>
      </c>
      <c r="E54" s="18" t="n">
        <v>77.83968858999999</v>
      </c>
      <c r="F54" s="20" t="n">
        <v>2.20041352</v>
      </c>
      <c r="G54" s="18" t="n">
        <v>2.16051131</v>
      </c>
      <c r="H54" s="20" t="n">
        <v>0.69187884</v>
      </c>
      <c r="I54" s="18" t="s">
        <v>349</v>
      </c>
      <c r="J54" s="20" t="s">
        <v>349</v>
      </c>
      <c r="K54" s="18" t="n">
        <v>14.11645014</v>
      </c>
      <c r="L54" s="20" t="n">
        <v>2.05616651</v>
      </c>
      <c r="M54" s="18" t="n">
        <v>0</v>
      </c>
      <c r="N54" s="20" t="n">
        <v>0</v>
      </c>
      <c r="O54" s="18" t="n">
        <v>0</v>
      </c>
      <c r="P54" s="20" t="n">
        <v>0</v>
      </c>
      <c r="Q54" s="18" t="n">
        <v>5.88334997</v>
      </c>
      <c r="R54" s="20" t="n">
        <v>1.27197235</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(3096.0/B67*100)</f>
        <v/>
      </c>
      <c r="D67" s="19" t="n">
        <v>364</v>
      </c>
      <c r="E67" s="18" t="n">
        <v>75.32258089</v>
      </c>
      <c r="F67" s="20" t="n">
        <v>2.39260338</v>
      </c>
      <c r="G67" s="18" t="n">
        <v>17.887795</v>
      </c>
      <c r="H67" s="20" t="n">
        <v>2.02534432</v>
      </c>
      <c r="I67" s="18" t="s">
        <v>349</v>
      </c>
      <c r="J67" s="20" t="s">
        <v>349</v>
      </c>
      <c r="K67" s="18" t="n">
        <v>0.85704434</v>
      </c>
      <c r="L67" s="20" t="n">
        <v>0.5215489800000001</v>
      </c>
      <c r="M67" s="18" t="n">
        <v>0</v>
      </c>
      <c r="N67" s="20" t="n">
        <v>0</v>
      </c>
      <c r="O67" s="18" t="n">
        <v>0</v>
      </c>
      <c r="P67" s="20" t="n">
        <v>0</v>
      </c>
      <c r="Q67" s="18" t="n">
        <v>5.93257978</v>
      </c>
      <c r="R67" s="20" t="n">
        <v>1.29578622</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(2626.0/B75*100)</f>
        <v/>
      </c>
      <c r="D75" s="19" t="n">
        <v>343</v>
      </c>
      <c r="E75" s="18" t="n">
        <v>75.85426954</v>
      </c>
      <c r="F75" s="20" t="n">
        <v>2.05581784</v>
      </c>
      <c r="G75" s="18" t="n">
        <v>11.99892375</v>
      </c>
      <c r="H75" s="20" t="n">
        <v>1.50146168</v>
      </c>
      <c r="I75" s="18" t="s">
        <v>349</v>
      </c>
      <c r="J75" s="20" t="s">
        <v>349</v>
      </c>
      <c r="K75" s="18" t="n">
        <v>6.45570192</v>
      </c>
      <c r="L75" s="20" t="n">
        <v>1.43237366</v>
      </c>
      <c r="M75" s="18" t="n">
        <v>0</v>
      </c>
      <c r="N75" s="20" t="n">
        <v>0</v>
      </c>
      <c r="O75" s="18" t="n">
        <v>0</v>
      </c>
      <c r="P75" s="20" t="n">
        <v>0</v>
      </c>
      <c r="Q75" s="18" t="n">
        <v>5.69110478</v>
      </c>
      <c r="R75" s="20" t="n">
        <v>1.24812135</v>
      </c>
    </row>
    <row r="76" spans="1:18">
      <c r="A76" s="15" t="s">
        <v>418</v>
      </c>
      <c r="B76" s="17" t="n">
        <v>7115</v>
      </c>
      <c r="C76" s="18">
        <f>(6243.0/B76*100)</f>
        <v/>
      </c>
      <c r="D76" s="19" t="n">
        <v>872</v>
      </c>
      <c r="E76" s="18" t="n">
        <v>69.56455667</v>
      </c>
      <c r="F76" s="20" t="n">
        <v>1.78009944</v>
      </c>
      <c r="G76" s="18" t="n">
        <v>25.73369998</v>
      </c>
      <c r="H76" s="20" t="n">
        <v>1.81281115</v>
      </c>
      <c r="I76" s="18" t="s">
        <v>349</v>
      </c>
      <c r="J76" s="20" t="s">
        <v>349</v>
      </c>
      <c r="K76" s="18" t="n">
        <v>1.51428593</v>
      </c>
      <c r="L76" s="20" t="n">
        <v>0.58345172</v>
      </c>
      <c r="M76" s="18" t="n">
        <v>0</v>
      </c>
      <c r="N76" s="20" t="n">
        <v>0</v>
      </c>
      <c r="O76" s="18" t="n">
        <v>0</v>
      </c>
      <c r="P76" s="20" t="n">
        <v>0</v>
      </c>
      <c r="Q76" s="18" t="n">
        <v>3.18745743</v>
      </c>
      <c r="R76" s="20" t="n">
        <v>0.65364715</v>
      </c>
    </row>
    <row r="77" spans="1:18">
      <c r="A77" s="15" t="s">
        <v>419</v>
      </c>
      <c r="B77" s="17" t="n">
        <v>3154</v>
      </c>
      <c r="C77" s="18">
        <f>(2784.0/B77*100)</f>
        <v/>
      </c>
      <c r="D77" s="19" t="n">
        <v>370</v>
      </c>
      <c r="E77" s="18" t="n">
        <v>55.41833367</v>
      </c>
      <c r="F77" s="20" t="n">
        <v>2.58821521</v>
      </c>
      <c r="G77" s="18" t="n">
        <v>30.06949357</v>
      </c>
      <c r="H77" s="20" t="n">
        <v>2.18911581</v>
      </c>
      <c r="I77" s="18" t="s">
        <v>349</v>
      </c>
      <c r="J77" s="20" t="s">
        <v>349</v>
      </c>
      <c r="K77" s="18" t="n">
        <v>3.94512693</v>
      </c>
      <c r="L77" s="20" t="n">
        <v>1.01990877</v>
      </c>
      <c r="M77" s="18" t="n">
        <v>0</v>
      </c>
      <c r="N77" s="20" t="n">
        <v>0</v>
      </c>
      <c r="O77" s="18" t="n">
        <v>0</v>
      </c>
      <c r="P77" s="20" t="n">
        <v>0</v>
      </c>
      <c r="Q77" s="18" t="n">
        <v>10.56704582</v>
      </c>
      <c r="R77" s="20" t="n">
        <v>1.81534179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(3067.0/B11*100)</f>
        <v/>
      </c>
      <c r="D11" s="19" t="n">
        <v>433</v>
      </c>
      <c r="E11" s="18" t="n">
        <v>88.18144724</v>
      </c>
      <c r="F11" s="20" t="n">
        <v>1.42043875</v>
      </c>
      <c r="G11" s="18" t="n">
        <v>8.18103357</v>
      </c>
      <c r="H11" s="20" t="n">
        <v>1.16679949</v>
      </c>
      <c r="I11" s="18" t="s">
        <v>349</v>
      </c>
      <c r="J11" s="20" t="s">
        <v>349</v>
      </c>
      <c r="K11" s="18" t="n">
        <v>3.63751919</v>
      </c>
      <c r="L11" s="20" t="n">
        <v>0.86688849</v>
      </c>
      <c r="M11" s="18" t="n">
        <v>0</v>
      </c>
      <c r="N11" s="20" t="n">
        <v>0</v>
      </c>
      <c r="O11" s="18" t="n">
        <v>0</v>
      </c>
      <c r="P11" s="20" t="n">
        <v>0</v>
      </c>
      <c r="Q11" s="18" t="n">
        <v>0</v>
      </c>
      <c r="R11" s="20" t="n">
        <v>0</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(3396.0/B28*100)</f>
        <v/>
      </c>
      <c r="D28" s="19" t="n">
        <v>407</v>
      </c>
      <c r="E28" s="18" t="n">
        <v>91.4262394</v>
      </c>
      <c r="F28" s="20" t="n">
        <v>2.02990254</v>
      </c>
      <c r="G28" s="18" t="n">
        <v>6.24259082</v>
      </c>
      <c r="H28" s="20" t="n">
        <v>1.75968239</v>
      </c>
      <c r="I28" s="18" t="s">
        <v>349</v>
      </c>
      <c r="J28" s="20" t="s">
        <v>349</v>
      </c>
      <c r="K28" s="18" t="n">
        <v>2.33116978</v>
      </c>
      <c r="L28" s="20" t="n">
        <v>0.8558609700000001</v>
      </c>
      <c r="M28" s="18" t="n">
        <v>0</v>
      </c>
      <c r="N28" s="20" t="n">
        <v>0</v>
      </c>
      <c r="O28" s="18" t="n">
        <v>0</v>
      </c>
      <c r="P28" s="20" t="n">
        <v>0</v>
      </c>
      <c r="Q28" s="18" t="n">
        <v>0</v>
      </c>
      <c r="R28" s="20" t="n">
        <v>0</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(10928.0/B46*100)</f>
        <v/>
      </c>
      <c r="D46" s="19" t="n">
        <v>1145</v>
      </c>
      <c r="E46" s="18" t="n">
        <v>91.15853568999999</v>
      </c>
      <c r="F46" s="20" t="n">
        <v>1.13754977</v>
      </c>
      <c r="G46" s="18" t="n">
        <v>4.19898789</v>
      </c>
      <c r="H46" s="20" t="n">
        <v>0.8496972</v>
      </c>
      <c r="I46" s="18" t="s">
        <v>349</v>
      </c>
      <c r="J46" s="20" t="s">
        <v>349</v>
      </c>
      <c r="K46" s="18" t="n">
        <v>4.64247642</v>
      </c>
      <c r="L46" s="20" t="n">
        <v>0.91062714</v>
      </c>
      <c r="M46" s="18" t="n">
        <v>0</v>
      </c>
      <c r="N46" s="20" t="n">
        <v>0</v>
      </c>
      <c r="O46" s="18" t="n">
        <v>0</v>
      </c>
      <c r="P46" s="20" t="n">
        <v>0</v>
      </c>
      <c r="Q46" s="18" t="n">
        <v>0</v>
      </c>
      <c r="R46" s="20" t="n">
        <v>0</v>
      </c>
    </row>
    <row r="47" spans="1:18">
      <c r="A47" s="15" t="s">
        <v>389</v>
      </c>
      <c r="B47" s="17" t="n">
        <v>2823</v>
      </c>
      <c r="C47" s="18">
        <f>(2491.0/B47*100)</f>
        <v/>
      </c>
      <c r="D47" s="19" t="n">
        <v>332</v>
      </c>
      <c r="E47" s="18" t="n">
        <v>90.73550532</v>
      </c>
      <c r="F47" s="20" t="n">
        <v>2.10922744</v>
      </c>
      <c r="G47" s="18" t="n">
        <v>8.32889774</v>
      </c>
      <c r="H47" s="20" t="n">
        <v>2.03699739</v>
      </c>
      <c r="I47" s="18" t="s">
        <v>349</v>
      </c>
      <c r="J47" s="20" t="s">
        <v>349</v>
      </c>
      <c r="K47" s="18" t="n">
        <v>0.93559693</v>
      </c>
      <c r="L47" s="20" t="n">
        <v>0.5555336400000001</v>
      </c>
      <c r="M47" s="18" t="n">
        <v>0</v>
      </c>
      <c r="N47" s="20" t="n">
        <v>0</v>
      </c>
      <c r="O47" s="18" t="n">
        <v>0</v>
      </c>
      <c r="P47" s="20" t="n">
        <v>0</v>
      </c>
      <c r="Q47" s="18" t="n">
        <v>0</v>
      </c>
      <c r="R47" s="20" t="n">
        <v>0</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(5454.0/B50*100)</f>
        <v/>
      </c>
      <c r="D50" s="19" t="n">
        <v>704</v>
      </c>
      <c r="E50" s="18" t="n">
        <v>89.53719732</v>
      </c>
      <c r="F50" s="20" t="n">
        <v>1.36795566</v>
      </c>
      <c r="G50" s="18" t="n">
        <v>5.04855146</v>
      </c>
      <c r="H50" s="20" t="n">
        <v>0.86642142</v>
      </c>
      <c r="I50" s="18" t="s">
        <v>349</v>
      </c>
      <c r="J50" s="20" t="s">
        <v>349</v>
      </c>
      <c r="K50" s="18" t="n">
        <v>5.41425122</v>
      </c>
      <c r="L50" s="20" t="n">
        <v>1.28142855</v>
      </c>
      <c r="M50" s="18" t="n">
        <v>0</v>
      </c>
      <c r="N50" s="20" t="n">
        <v>0</v>
      </c>
      <c r="O50" s="18" t="n">
        <v>0</v>
      </c>
      <c r="P50" s="20" t="n">
        <v>0</v>
      </c>
      <c r="Q50" s="18" t="n">
        <v>0</v>
      </c>
      <c r="R50" s="20" t="n">
        <v>0</v>
      </c>
    </row>
    <row r="51" spans="1:18">
      <c r="A51" s="15" t="s">
        <v>393</v>
      </c>
      <c r="B51" s="17" t="n">
        <v>3494</v>
      </c>
      <c r="C51" s="18">
        <f>(3135.0/B51*100)</f>
        <v/>
      </c>
      <c r="D51" s="19" t="n">
        <v>359</v>
      </c>
      <c r="E51" s="18" t="n">
        <v>93.51995113</v>
      </c>
      <c r="F51" s="20" t="n">
        <v>1.19601875</v>
      </c>
      <c r="G51" s="18" t="n">
        <v>3.76847158</v>
      </c>
      <c r="H51" s="20" t="n">
        <v>0.98691817</v>
      </c>
      <c r="I51" s="18" t="s">
        <v>349</v>
      </c>
      <c r="J51" s="20" t="s">
        <v>349</v>
      </c>
      <c r="K51" s="18" t="n">
        <v>2.71157729</v>
      </c>
      <c r="L51" s="20" t="n">
        <v>0.9240885599999999</v>
      </c>
      <c r="M51" s="18" t="n">
        <v>0</v>
      </c>
      <c r="N51" s="20" t="n">
        <v>0</v>
      </c>
      <c r="O51" s="18" t="n">
        <v>0</v>
      </c>
      <c r="P51" s="20" t="n">
        <v>0</v>
      </c>
      <c r="Q51" s="18" t="n">
        <v>0</v>
      </c>
      <c r="R51" s="20" t="n">
        <v>0</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(2424.0/B53*100)</f>
        <v/>
      </c>
      <c r="D53" s="19" t="n">
        <v>336</v>
      </c>
      <c r="E53" s="18" t="n">
        <v>88.99304402</v>
      </c>
      <c r="F53" s="20" t="n">
        <v>1.85435076</v>
      </c>
      <c r="G53" s="18" t="n">
        <v>9.0507575</v>
      </c>
      <c r="H53" s="20" t="n">
        <v>1.81371357</v>
      </c>
      <c r="I53" s="18" t="s">
        <v>349</v>
      </c>
      <c r="J53" s="20" t="s">
        <v>349</v>
      </c>
      <c r="K53" s="18" t="n">
        <v>1.95619848</v>
      </c>
      <c r="L53" s="20" t="n">
        <v>0.6442332200000001</v>
      </c>
      <c r="M53" s="18" t="n">
        <v>0</v>
      </c>
      <c r="N53" s="20" t="n">
        <v>0</v>
      </c>
      <c r="O53" s="18" t="n">
        <v>0</v>
      </c>
      <c r="P53" s="20" t="n">
        <v>0</v>
      </c>
      <c r="Q53" s="18" t="n">
        <v>0</v>
      </c>
      <c r="R53" s="20" t="n">
        <v>0</v>
      </c>
    </row>
    <row r="54" spans="1:18">
      <c r="A54" s="15" t="s">
        <v>396</v>
      </c>
      <c r="B54" s="17" t="n">
        <v>2474</v>
      </c>
      <c r="C54" s="18">
        <f>(2054.0/B54*100)</f>
        <v/>
      </c>
      <c r="D54" s="19" t="n">
        <v>420</v>
      </c>
      <c r="E54" s="18" t="n">
        <v>81.63315231999999</v>
      </c>
      <c r="F54" s="20" t="n">
        <v>2.35669</v>
      </c>
      <c r="G54" s="18" t="n">
        <v>2.53724224</v>
      </c>
      <c r="H54" s="20" t="n">
        <v>0.81107387</v>
      </c>
      <c r="I54" s="18" t="s">
        <v>349</v>
      </c>
      <c r="J54" s="20" t="s">
        <v>349</v>
      </c>
      <c r="K54" s="18" t="n">
        <v>15.82960544</v>
      </c>
      <c r="L54" s="20" t="n">
        <v>2.18613365</v>
      </c>
      <c r="M54" s="18" t="n">
        <v>0</v>
      </c>
      <c r="N54" s="20" t="n">
        <v>0</v>
      </c>
      <c r="O54" s="18" t="n">
        <v>0</v>
      </c>
      <c r="P54" s="20" t="n">
        <v>0</v>
      </c>
      <c r="Q54" s="18" t="n">
        <v>0</v>
      </c>
      <c r="R54" s="20" t="n">
        <v>0</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(3103.0/B67*100)</f>
        <v/>
      </c>
      <c r="D67" s="19" t="n">
        <v>357</v>
      </c>
      <c r="E67" s="18" t="n">
        <v>91.93990006999999</v>
      </c>
      <c r="F67" s="20" t="n">
        <v>1.34622839</v>
      </c>
      <c r="G67" s="18" t="n">
        <v>6.40770904</v>
      </c>
      <c r="H67" s="20" t="n">
        <v>1.25739096</v>
      </c>
      <c r="I67" s="18" t="s">
        <v>349</v>
      </c>
      <c r="J67" s="20" t="s">
        <v>349</v>
      </c>
      <c r="K67" s="18" t="n">
        <v>1.6523909</v>
      </c>
      <c r="L67" s="20" t="n">
        <v>0.68835754</v>
      </c>
      <c r="M67" s="18" t="n">
        <v>0</v>
      </c>
      <c r="N67" s="20" t="n">
        <v>0</v>
      </c>
      <c r="O67" s="18" t="n">
        <v>0</v>
      </c>
      <c r="P67" s="20" t="n">
        <v>0</v>
      </c>
      <c r="Q67" s="18" t="n">
        <v>0</v>
      </c>
      <c r="R67" s="20" t="n">
        <v>0</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(2628.0/B75*100)</f>
        <v/>
      </c>
      <c r="D75" s="19" t="n">
        <v>341</v>
      </c>
      <c r="E75" s="18" t="n">
        <v>87.92554456000001</v>
      </c>
      <c r="F75" s="20" t="n">
        <v>1.87192045</v>
      </c>
      <c r="G75" s="18" t="n">
        <v>4.47615979</v>
      </c>
      <c r="H75" s="20" t="n">
        <v>1.11771095</v>
      </c>
      <c r="I75" s="18" t="s">
        <v>349</v>
      </c>
      <c r="J75" s="20" t="s">
        <v>349</v>
      </c>
      <c r="K75" s="18" t="n">
        <v>7.59829565</v>
      </c>
      <c r="L75" s="20" t="n">
        <v>1.61888451</v>
      </c>
      <c r="M75" s="18" t="n">
        <v>0</v>
      </c>
      <c r="N75" s="20" t="n">
        <v>0</v>
      </c>
      <c r="O75" s="18" t="n">
        <v>0</v>
      </c>
      <c r="P75" s="20" t="n">
        <v>0</v>
      </c>
      <c r="Q75" s="18" t="n">
        <v>0</v>
      </c>
      <c r="R75" s="20" t="n">
        <v>0</v>
      </c>
    </row>
    <row r="76" spans="1:18">
      <c r="A76" s="15" t="s">
        <v>418</v>
      </c>
      <c r="B76" s="17" t="n">
        <v>7115</v>
      </c>
      <c r="C76" s="18">
        <f>(6243.0/B76*100)</f>
        <v/>
      </c>
      <c r="D76" s="19" t="n">
        <v>872</v>
      </c>
      <c r="E76" s="18" t="n">
        <v>90.04238262</v>
      </c>
      <c r="F76" s="20" t="n">
        <v>1.35632717</v>
      </c>
      <c r="G76" s="18" t="n">
        <v>8.443331450000001</v>
      </c>
      <c r="H76" s="20" t="n">
        <v>1.27904851</v>
      </c>
      <c r="I76" s="18" t="s">
        <v>349</v>
      </c>
      <c r="J76" s="20" t="s">
        <v>349</v>
      </c>
      <c r="K76" s="18" t="n">
        <v>1.51428593</v>
      </c>
      <c r="L76" s="20" t="n">
        <v>0.58345172</v>
      </c>
      <c r="M76" s="18" t="n">
        <v>0</v>
      </c>
      <c r="N76" s="20" t="n">
        <v>0</v>
      </c>
      <c r="O76" s="18" t="n">
        <v>0</v>
      </c>
      <c r="P76" s="20" t="n">
        <v>0</v>
      </c>
      <c r="Q76" s="18" t="n">
        <v>0</v>
      </c>
      <c r="R76" s="20" t="n">
        <v>0</v>
      </c>
    </row>
    <row r="77" spans="1:18">
      <c r="A77" s="15" t="s">
        <v>419</v>
      </c>
      <c r="B77" s="17" t="n">
        <v>3154</v>
      </c>
      <c r="C77" s="18">
        <f>(2785.0/B77*100)</f>
        <v/>
      </c>
      <c r="D77" s="19" t="n">
        <v>369</v>
      </c>
      <c r="E77" s="18" t="n">
        <v>88.65715414</v>
      </c>
      <c r="F77" s="20" t="n">
        <v>1.58156802</v>
      </c>
      <c r="G77" s="18" t="n">
        <v>5.33314787</v>
      </c>
      <c r="H77" s="20" t="n">
        <v>1.05867518</v>
      </c>
      <c r="I77" s="18" t="s">
        <v>349</v>
      </c>
      <c r="J77" s="20" t="s">
        <v>349</v>
      </c>
      <c r="K77" s="18" t="n">
        <v>6.00969799</v>
      </c>
      <c r="L77" s="20" t="n">
        <v>1.25626219</v>
      </c>
      <c r="M77" s="18" t="n">
        <v>0</v>
      </c>
      <c r="N77" s="20" t="n">
        <v>0</v>
      </c>
      <c r="O77" s="18" t="n">
        <v>0</v>
      </c>
      <c r="P77" s="20" t="n">
        <v>0</v>
      </c>
      <c r="Q77" s="18" t="n">
        <v>0</v>
      </c>
      <c r="R77" s="20" t="n">
        <v>0</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(2242.0/B44*100)</f>
        <v/>
      </c>
      <c r="D44" s="19" t="n">
        <v>449</v>
      </c>
      <c r="E44" s="18" t="n">
        <v>46.60893197</v>
      </c>
      <c r="F44" s="20" t="n">
        <v>2.6605016</v>
      </c>
      <c r="G44" s="18" t="n">
        <v>43.99723008</v>
      </c>
      <c r="H44" s="20" t="n">
        <v>2.52067716</v>
      </c>
      <c r="I44" s="18" t="s">
        <v>349</v>
      </c>
      <c r="J44" s="20" t="s">
        <v>349</v>
      </c>
      <c r="K44" s="18" t="n">
        <v>1.8953191</v>
      </c>
      <c r="L44" s="20" t="n">
        <v>0.75069682</v>
      </c>
      <c r="M44" s="18" t="n">
        <v>0</v>
      </c>
      <c r="N44" s="20" t="n">
        <v>0</v>
      </c>
      <c r="O44" s="18" t="n">
        <v>0.4108944</v>
      </c>
      <c r="P44" s="20" t="n">
        <v>0.39682536</v>
      </c>
      <c r="Q44" s="18" t="n">
        <v>7.08762445</v>
      </c>
      <c r="R44" s="20" t="n">
        <v>1.40672895</v>
      </c>
    </row>
    <row r="45" spans="1:18">
      <c r="A45" s="15" t="s">
        <v>387</v>
      </c>
      <c r="B45" s="17" t="n">
        <v>2670</v>
      </c>
      <c r="C45" s="18">
        <f>(2216.0/B45*100)</f>
        <v/>
      </c>
      <c r="D45" s="19" t="n">
        <v>454</v>
      </c>
      <c r="E45" s="18" t="n">
        <v>58.00531742</v>
      </c>
      <c r="F45" s="20" t="n">
        <v>2.70873296</v>
      </c>
      <c r="G45" s="18" t="n">
        <v>21.6886547</v>
      </c>
      <c r="H45" s="20" t="n">
        <v>2.11088368</v>
      </c>
      <c r="I45" s="18" t="s">
        <v>349</v>
      </c>
      <c r="J45" s="20" t="s">
        <v>349</v>
      </c>
      <c r="K45" s="18" t="n">
        <v>3.32782265</v>
      </c>
      <c r="L45" s="20" t="n">
        <v>1.0011487</v>
      </c>
      <c r="M45" s="18" t="n">
        <v>0</v>
      </c>
      <c r="N45" s="20" t="n">
        <v>0</v>
      </c>
      <c r="O45" s="18" t="n">
        <v>0.7465275300000001</v>
      </c>
      <c r="P45" s="20" t="n">
        <v>0.39733372</v>
      </c>
      <c r="Q45" s="18" t="n">
        <v>16.23167769</v>
      </c>
      <c r="R45" s="20" t="n">
        <v>2.00259329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(2795.0/B49*100)</f>
        <v/>
      </c>
      <c r="D49" s="19" t="n">
        <v>536</v>
      </c>
      <c r="E49" s="18" t="n">
        <v>35.55518316</v>
      </c>
      <c r="F49" s="20" t="n">
        <v>2.5098506</v>
      </c>
      <c r="G49" s="18" t="n">
        <v>59.25424142</v>
      </c>
      <c r="H49" s="20" t="n">
        <v>2.51712512</v>
      </c>
      <c r="I49" s="18" t="s">
        <v>349</v>
      </c>
      <c r="J49" s="20" t="s">
        <v>349</v>
      </c>
      <c r="K49" s="18" t="n">
        <v>1.94786552</v>
      </c>
      <c r="L49" s="20" t="n">
        <v>0.62716783</v>
      </c>
      <c r="M49" s="18" t="n">
        <v>0</v>
      </c>
      <c r="N49" s="20" t="n">
        <v>0</v>
      </c>
      <c r="O49" s="18" t="n">
        <v>0.44456309</v>
      </c>
      <c r="P49" s="20" t="n">
        <v>0.30793705</v>
      </c>
      <c r="Q49" s="18" t="n">
        <v>2.79814681</v>
      </c>
      <c r="R49" s="20" t="n">
        <v>0.99401384</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(2138.0/B55*100)</f>
        <v/>
      </c>
      <c r="D55" s="19" t="n">
        <v>419</v>
      </c>
      <c r="E55" s="18" t="n">
        <v>54.08531619</v>
      </c>
      <c r="F55" s="20" t="n">
        <v>2.50934604</v>
      </c>
      <c r="G55" s="18" t="n">
        <v>40.03505556</v>
      </c>
      <c r="H55" s="20" t="n">
        <v>2.36356879</v>
      </c>
      <c r="I55" s="18" t="s">
        <v>349</v>
      </c>
      <c r="J55" s="20" t="s">
        <v>349</v>
      </c>
      <c r="K55" s="18" t="n">
        <v>1.89470327</v>
      </c>
      <c r="L55" s="20" t="n">
        <v>0.77730277</v>
      </c>
      <c r="M55" s="18" t="n">
        <v>0</v>
      </c>
      <c r="N55" s="20" t="n">
        <v>0</v>
      </c>
      <c r="O55" s="18" t="n">
        <v>0.22884934</v>
      </c>
      <c r="P55" s="20" t="n">
        <v>0.23023207</v>
      </c>
      <c r="Q55" s="18" t="n">
        <v>3.75607564</v>
      </c>
      <c r="R55" s="20" t="n">
        <v>0.9501785</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(2767.0/B57*100)</f>
        <v/>
      </c>
      <c r="D57" s="19" t="n">
        <v>576</v>
      </c>
      <c r="E57" s="18" t="n">
        <v>50.90731972</v>
      </c>
      <c r="F57" s="20" t="n">
        <v>2.30848193</v>
      </c>
      <c r="G57" s="18" t="n">
        <v>45.45084392</v>
      </c>
      <c r="H57" s="20" t="n">
        <v>2.3957866</v>
      </c>
      <c r="I57" s="18" t="s">
        <v>349</v>
      </c>
      <c r="J57" s="20" t="s">
        <v>349</v>
      </c>
      <c r="K57" s="18" t="n">
        <v>0.99717758</v>
      </c>
      <c r="L57" s="20" t="n">
        <v>0.49931517</v>
      </c>
      <c r="M57" s="18" t="n">
        <v>0</v>
      </c>
      <c r="N57" s="20" t="n">
        <v>0</v>
      </c>
      <c r="O57" s="18" t="n">
        <v>0</v>
      </c>
      <c r="P57" s="20" t="n">
        <v>0</v>
      </c>
      <c r="Q57" s="18" t="n">
        <v>2.64465878</v>
      </c>
      <c r="R57" s="20" t="n">
        <v>0.77774585</v>
      </c>
    </row>
    <row r="58" spans="1:18">
      <c r="A58" s="15" t="s">
        <v>400</v>
      </c>
      <c r="B58" s="17" t="n">
        <v>3737</v>
      </c>
      <c r="C58" s="18">
        <f>(3106.0/B58*100)</f>
        <v/>
      </c>
      <c r="D58" s="19" t="n">
        <v>631</v>
      </c>
      <c r="E58" s="18" t="n">
        <v>46.3291681</v>
      </c>
      <c r="F58" s="20" t="n">
        <v>2.72489789</v>
      </c>
      <c r="G58" s="18" t="n">
        <v>52.22487382</v>
      </c>
      <c r="H58" s="20" t="n">
        <v>2.82717077</v>
      </c>
      <c r="I58" s="18" t="s">
        <v>349</v>
      </c>
      <c r="J58" s="20" t="s">
        <v>349</v>
      </c>
      <c r="K58" s="18" t="n">
        <v>0.39118812</v>
      </c>
      <c r="L58" s="20" t="n">
        <v>0.26856989</v>
      </c>
      <c r="M58" s="18" t="n">
        <v>0</v>
      </c>
      <c r="N58" s="20" t="n">
        <v>0</v>
      </c>
      <c r="O58" s="18" t="n">
        <v>0.23339152</v>
      </c>
      <c r="P58" s="20" t="n">
        <v>0.23340123</v>
      </c>
      <c r="Q58" s="18" t="n">
        <v>0.82137843</v>
      </c>
      <c r="R58" s="20" t="n">
        <v>0.25281282</v>
      </c>
    </row>
    <row r="59" spans="1:18">
      <c r="A59" s="15" t="s">
        <v>401</v>
      </c>
      <c r="B59" s="17" t="n">
        <v>2278</v>
      </c>
      <c r="C59" s="18">
        <f>(1910.0/B59*100)</f>
        <v/>
      </c>
      <c r="D59" s="19" t="n">
        <v>368</v>
      </c>
      <c r="E59" s="18" t="n">
        <v>59.54391895</v>
      </c>
      <c r="F59" s="20" t="n">
        <v>2.7542507</v>
      </c>
      <c r="G59" s="18" t="n">
        <v>36.91265291</v>
      </c>
      <c r="H59" s="20" t="n">
        <v>2.68103431</v>
      </c>
      <c r="I59" s="18" t="s">
        <v>349</v>
      </c>
      <c r="J59" s="20" t="s">
        <v>349</v>
      </c>
      <c r="K59" s="18" t="n">
        <v>0.62357704</v>
      </c>
      <c r="L59" s="20" t="n">
        <v>0.33002065</v>
      </c>
      <c r="M59" s="18" t="n">
        <v>0</v>
      </c>
      <c r="N59" s="20" t="n">
        <v>0</v>
      </c>
      <c r="O59" s="18" t="n">
        <v>0.11472045</v>
      </c>
      <c r="P59" s="20" t="n">
        <v>0.11515517</v>
      </c>
      <c r="Q59" s="18" t="n">
        <v>2.80513065</v>
      </c>
      <c r="R59" s="20" t="n">
        <v>0.90672743</v>
      </c>
    </row>
    <row r="60" spans="1:18">
      <c r="A60" s="15" t="s">
        <v>402</v>
      </c>
      <c r="B60" s="17" t="n">
        <v>2451</v>
      </c>
      <c r="C60" s="18">
        <f>(2037.0/B60*100)</f>
        <v/>
      </c>
      <c r="D60" s="19" t="n">
        <v>414</v>
      </c>
      <c r="E60" s="18" t="n">
        <v>47.04272097</v>
      </c>
      <c r="F60" s="20" t="n">
        <v>2.7365161</v>
      </c>
      <c r="G60" s="18" t="n">
        <v>44.11608924</v>
      </c>
      <c r="H60" s="20" t="n">
        <v>2.71262014</v>
      </c>
      <c r="I60" s="18" t="s">
        <v>349</v>
      </c>
      <c r="J60" s="20" t="s">
        <v>349</v>
      </c>
      <c r="K60" s="18" t="n">
        <v>2.44882181</v>
      </c>
      <c r="L60" s="20" t="n">
        <v>0.90213124</v>
      </c>
      <c r="M60" s="18" t="n">
        <v>0</v>
      </c>
      <c r="N60" s="20" t="n">
        <v>0</v>
      </c>
      <c r="O60" s="18" t="n">
        <v>0.32405169</v>
      </c>
      <c r="P60" s="20" t="n">
        <v>0.2150992</v>
      </c>
      <c r="Q60" s="18" t="n">
        <v>6.06831628</v>
      </c>
      <c r="R60" s="20" t="n">
        <v>1.37528518</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(2065.0/B63*100)</f>
        <v/>
      </c>
      <c r="D63" s="19" t="n">
        <v>446</v>
      </c>
      <c r="E63" s="18" t="n">
        <v>47.15635786</v>
      </c>
      <c r="F63" s="20" t="n">
        <v>2.78312693</v>
      </c>
      <c r="G63" s="18" t="n">
        <v>43.93572825</v>
      </c>
      <c r="H63" s="20" t="n">
        <v>2.79434523</v>
      </c>
      <c r="I63" s="18" t="s">
        <v>349</v>
      </c>
      <c r="J63" s="20" t="s">
        <v>349</v>
      </c>
      <c r="K63" s="18" t="n">
        <v>0.88973946</v>
      </c>
      <c r="L63" s="20" t="n">
        <v>0.45095683</v>
      </c>
      <c r="M63" s="18" t="n">
        <v>0</v>
      </c>
      <c r="N63" s="20" t="n">
        <v>0</v>
      </c>
      <c r="O63" s="18" t="n">
        <v>0</v>
      </c>
      <c r="P63" s="20" t="n">
        <v>0</v>
      </c>
      <c r="Q63" s="18" t="n">
        <v>8.018174419999999</v>
      </c>
      <c r="R63" s="20" t="n">
        <v>1.16549593</v>
      </c>
    </row>
    <row r="64" spans="1:18">
      <c r="A64" s="15" t="s">
        <v>406</v>
      </c>
      <c r="B64" s="17" t="n">
        <v>1790</v>
      </c>
      <c r="C64" s="18">
        <f>(1496.0/B64*100)</f>
        <v/>
      </c>
      <c r="D64" s="19" t="n">
        <v>294</v>
      </c>
      <c r="E64" s="18" t="n">
        <v>27.20349259</v>
      </c>
      <c r="F64" s="20" t="n">
        <v>2.79986874</v>
      </c>
      <c r="G64" s="18" t="n">
        <v>70.19752167</v>
      </c>
      <c r="H64" s="20" t="n">
        <v>2.95215126</v>
      </c>
      <c r="I64" s="18" t="s">
        <v>349</v>
      </c>
      <c r="J64" s="20" t="s">
        <v>349</v>
      </c>
      <c r="K64" s="18" t="n">
        <v>1.24382513</v>
      </c>
      <c r="L64" s="20" t="n">
        <v>0.7223495599999999</v>
      </c>
      <c r="M64" s="18" t="n">
        <v>0</v>
      </c>
      <c r="N64" s="20" t="n">
        <v>0</v>
      </c>
      <c r="O64" s="18" t="n">
        <v>0.28917558</v>
      </c>
      <c r="P64" s="20" t="n">
        <v>0.29084149</v>
      </c>
      <c r="Q64" s="18" t="n">
        <v>1.06598504</v>
      </c>
      <c r="R64" s="20" t="n">
        <v>0.55405271</v>
      </c>
    </row>
    <row r="65" spans="1:18">
      <c r="A65" s="15" t="s">
        <v>407</v>
      </c>
      <c r="B65" s="17" t="n">
        <v>2634</v>
      </c>
      <c r="C65" s="18">
        <f>(2193.0/B65*100)</f>
        <v/>
      </c>
      <c r="D65" s="19" t="n">
        <v>441</v>
      </c>
      <c r="E65" s="18" t="n">
        <v>37.20764592</v>
      </c>
      <c r="F65" s="20" t="n">
        <v>2.41112443</v>
      </c>
      <c r="G65" s="18" t="n">
        <v>56.25188663</v>
      </c>
      <c r="H65" s="20" t="n">
        <v>2.50217621</v>
      </c>
      <c r="I65" s="18" t="s">
        <v>349</v>
      </c>
      <c r="J65" s="20" t="s">
        <v>349</v>
      </c>
      <c r="K65" s="18" t="n">
        <v>3.03931134</v>
      </c>
      <c r="L65" s="20" t="n">
        <v>0.87761349</v>
      </c>
      <c r="M65" s="18" t="n">
        <v>0.55177825</v>
      </c>
      <c r="N65" s="20" t="n">
        <v>0.40466401</v>
      </c>
      <c r="O65" s="18" t="n">
        <v>0</v>
      </c>
      <c r="P65" s="20" t="n">
        <v>0</v>
      </c>
      <c r="Q65" s="18" t="n">
        <v>2.94937787</v>
      </c>
      <c r="R65" s="20" t="n">
        <v>0.84767995</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(2054.0/B69*100)</f>
        <v/>
      </c>
      <c r="D69" s="19" t="n">
        <v>412</v>
      </c>
      <c r="E69" s="18" t="n">
        <v>51.5344942</v>
      </c>
      <c r="F69" s="20" t="n">
        <v>2.8122932</v>
      </c>
      <c r="G69" s="18" t="n">
        <v>47.98916775</v>
      </c>
      <c r="H69" s="20" t="n">
        <v>2.80234902</v>
      </c>
      <c r="I69" s="18" t="s">
        <v>349</v>
      </c>
      <c r="J69" s="20" t="s">
        <v>349</v>
      </c>
      <c r="K69" s="18" t="n">
        <v>0</v>
      </c>
      <c r="L69" s="20" t="n">
        <v>0</v>
      </c>
      <c r="M69" s="18" t="n">
        <v>0</v>
      </c>
      <c r="N69" s="20" t="n">
        <v>0</v>
      </c>
      <c r="O69" s="18" t="n">
        <v>0</v>
      </c>
      <c r="P69" s="20" t="n">
        <v>0</v>
      </c>
      <c r="Q69" s="18" t="n">
        <v>0.47633804</v>
      </c>
      <c r="R69" s="20" t="n">
        <v>0.33960689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46.81135665</v>
      </c>
      <c r="F74" s="20" t="n">
        <v>2.85531037</v>
      </c>
      <c r="G74" s="18" t="n">
        <v>45.78932723</v>
      </c>
      <c r="H74" s="20" t="n">
        <v>2.58917172</v>
      </c>
      <c r="I74" s="18" t="s">
        <v>349</v>
      </c>
      <c r="J74" s="20" t="s">
        <v>349</v>
      </c>
      <c r="K74" s="18" t="n">
        <v>4.16284118</v>
      </c>
      <c r="L74" s="20" t="n">
        <v>0.98195844</v>
      </c>
      <c r="M74" s="18" t="n">
        <v>0</v>
      </c>
      <c r="N74" s="20" t="n">
        <v>0</v>
      </c>
      <c r="O74" s="18" t="n">
        <v>0</v>
      </c>
      <c r="P74" s="20" t="n">
        <v>0</v>
      </c>
      <c r="Q74" s="18" t="n">
        <v>3.23647494</v>
      </c>
      <c r="R74" s="20" t="n">
        <v>1.13777857</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(2539.0/B78*100)</f>
        <v/>
      </c>
      <c r="D78" s="19" t="n">
        <v>501</v>
      </c>
      <c r="E78" s="18" t="n">
        <v>24.95409916</v>
      </c>
      <c r="F78" s="20" t="n">
        <v>2.08840303</v>
      </c>
      <c r="G78" s="18" t="n">
        <v>74.84496962</v>
      </c>
      <c r="H78" s="20" t="n">
        <v>2.13355646</v>
      </c>
      <c r="I78" s="18" t="s">
        <v>349</v>
      </c>
      <c r="J78" s="20" t="s">
        <v>349</v>
      </c>
      <c r="K78" s="18" t="n">
        <v>0</v>
      </c>
      <c r="L78" s="20" t="n">
        <v>0</v>
      </c>
      <c r="M78" s="18" t="n">
        <v>0</v>
      </c>
      <c r="N78" s="20" t="n">
        <v>0</v>
      </c>
      <c r="O78" s="18" t="n">
        <v>0</v>
      </c>
      <c r="P78" s="20" t="n">
        <v>0</v>
      </c>
      <c r="Q78" s="18" t="n">
        <v>0.20093123</v>
      </c>
      <c r="R78" s="20" t="n">
        <v>0.20120584</v>
      </c>
    </row>
    <row customHeight="1" ht="25" r="79" spans="1:18">
      <c r="A79" s="15" t="s">
        <v>421</v>
      </c>
      <c r="B79" s="17" t="n">
        <v>870</v>
      </c>
      <c r="C79" s="18">
        <f>(722.0/B79*100)</f>
        <v/>
      </c>
      <c r="D79" s="19" t="n">
        <v>148</v>
      </c>
      <c r="E79" s="18" t="n">
        <v>27.3475976</v>
      </c>
      <c r="F79" s="20" t="n">
        <v>4.64401472</v>
      </c>
      <c r="G79" s="18" t="n">
        <v>69.39445901000001</v>
      </c>
      <c r="H79" s="20" t="n">
        <v>4.46827734</v>
      </c>
      <c r="I79" s="18" t="s">
        <v>349</v>
      </c>
      <c r="J79" s="20" t="s">
        <v>349</v>
      </c>
      <c r="K79" s="18" t="n">
        <v>2.61619247</v>
      </c>
      <c r="L79" s="20" t="n">
        <v>1.460598</v>
      </c>
      <c r="M79" s="18" t="n">
        <v>0</v>
      </c>
      <c r="N79" s="20" t="n">
        <v>0</v>
      </c>
      <c r="O79" s="18" t="n">
        <v>0</v>
      </c>
      <c r="P79" s="20" t="n">
        <v>0</v>
      </c>
      <c r="Q79" s="18" t="n">
        <v>0.64175091</v>
      </c>
      <c r="R79" s="20" t="n">
        <v>0.71625862</v>
      </c>
    </row>
    <row r="80" spans="1:18">
      <c r="A80" s="15" t="s">
        <v>422</v>
      </c>
      <c r="B80" s="17" t="n">
        <v>4043</v>
      </c>
      <c r="C80" s="18">
        <f>(3358.0/B80*100)</f>
        <v/>
      </c>
      <c r="D80" s="19" t="n">
        <v>685</v>
      </c>
      <c r="E80" s="18" t="n">
        <v>26.98345254</v>
      </c>
      <c r="F80" s="20" t="n">
        <v>2.42068008</v>
      </c>
      <c r="G80" s="18" t="n">
        <v>72.80854785</v>
      </c>
      <c r="H80" s="20" t="n">
        <v>2.50028466</v>
      </c>
      <c r="I80" s="18" t="s">
        <v>349</v>
      </c>
      <c r="J80" s="20" t="s">
        <v>349</v>
      </c>
      <c r="K80" s="18" t="n">
        <v>0</v>
      </c>
      <c r="L80" s="20" t="n">
        <v>0</v>
      </c>
      <c r="M80" s="18" t="n">
        <v>0</v>
      </c>
      <c r="N80" s="20" t="n">
        <v>0</v>
      </c>
      <c r="O80" s="18" t="n">
        <v>0</v>
      </c>
      <c r="P80" s="20" t="n">
        <v>0</v>
      </c>
      <c r="Q80" s="18" t="n">
        <v>0.20799962</v>
      </c>
      <c r="R80" s="20" t="n">
        <v>0.28527071</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(2242.0/B44*100)</f>
        <v/>
      </c>
      <c r="D44" s="19" t="n">
        <v>449</v>
      </c>
      <c r="E44" s="18" t="n">
        <v>47.77626256</v>
      </c>
      <c r="F44" s="20" t="n">
        <v>2.28932227</v>
      </c>
      <c r="G44" s="18" t="n">
        <v>39.09475137</v>
      </c>
      <c r="H44" s="20" t="n">
        <v>2.60519095</v>
      </c>
      <c r="I44" s="18" t="s">
        <v>349</v>
      </c>
      <c r="J44" s="20" t="s">
        <v>349</v>
      </c>
      <c r="K44" s="18" t="n">
        <v>3.13174929</v>
      </c>
      <c r="L44" s="20" t="n">
        <v>0.90844292</v>
      </c>
      <c r="M44" s="18" t="n">
        <v>0</v>
      </c>
      <c r="N44" s="20" t="n">
        <v>0</v>
      </c>
      <c r="O44" s="18" t="n">
        <v>0</v>
      </c>
      <c r="P44" s="20" t="n">
        <v>0</v>
      </c>
      <c r="Q44" s="18" t="n">
        <v>9.99723678</v>
      </c>
      <c r="R44" s="20" t="n">
        <v>1.45138703</v>
      </c>
    </row>
    <row r="45" spans="1:18">
      <c r="A45" s="15" t="s">
        <v>387</v>
      </c>
      <c r="B45" s="17" t="n">
        <v>2670</v>
      </c>
      <c r="C45" s="18">
        <f>(2216.0/B45*100)</f>
        <v/>
      </c>
      <c r="D45" s="19" t="n">
        <v>454</v>
      </c>
      <c r="E45" s="18" t="n">
        <v>51.15300908</v>
      </c>
      <c r="F45" s="20" t="n">
        <v>2.50106899</v>
      </c>
      <c r="G45" s="18" t="n">
        <v>31.56778467</v>
      </c>
      <c r="H45" s="20" t="n">
        <v>2.17066548</v>
      </c>
      <c r="I45" s="18" t="s">
        <v>349</v>
      </c>
      <c r="J45" s="20" t="s">
        <v>349</v>
      </c>
      <c r="K45" s="18" t="n">
        <v>4.17743224</v>
      </c>
      <c r="L45" s="20" t="n">
        <v>1.12850076</v>
      </c>
      <c r="M45" s="18" t="n">
        <v>1.38002711</v>
      </c>
      <c r="N45" s="20" t="n">
        <v>0.60301722</v>
      </c>
      <c r="O45" s="18" t="n">
        <v>0.59799009</v>
      </c>
      <c r="P45" s="20" t="n">
        <v>0.43842372</v>
      </c>
      <c r="Q45" s="18" t="n">
        <v>11.1237568</v>
      </c>
      <c r="R45" s="20" t="n">
        <v>1.60747406</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(2795.0/B49*100)</f>
        <v/>
      </c>
      <c r="D49" s="19" t="n">
        <v>536</v>
      </c>
      <c r="E49" s="18" t="n">
        <v>50.62775257</v>
      </c>
      <c r="F49" s="20" t="n">
        <v>2.42178933</v>
      </c>
      <c r="G49" s="18" t="n">
        <v>40.72817755</v>
      </c>
      <c r="H49" s="20" t="n">
        <v>2.39373365</v>
      </c>
      <c r="I49" s="18" t="s">
        <v>349</v>
      </c>
      <c r="J49" s="20" t="s">
        <v>349</v>
      </c>
      <c r="K49" s="18" t="n">
        <v>2.9708568</v>
      </c>
      <c r="L49" s="20" t="n">
        <v>0.90719099</v>
      </c>
      <c r="M49" s="18" t="n">
        <v>0</v>
      </c>
      <c r="N49" s="20" t="n">
        <v>0</v>
      </c>
      <c r="O49" s="18" t="n">
        <v>0</v>
      </c>
      <c r="P49" s="20" t="n">
        <v>0</v>
      </c>
      <c r="Q49" s="18" t="n">
        <v>5.67321307</v>
      </c>
      <c r="R49" s="20" t="n">
        <v>1.30033687</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(2138.0/B55*100)</f>
        <v/>
      </c>
      <c r="D55" s="19" t="n">
        <v>419</v>
      </c>
      <c r="E55" s="18" t="n">
        <v>54.82333744</v>
      </c>
      <c r="F55" s="20" t="n">
        <v>2.4177597</v>
      </c>
      <c r="G55" s="18" t="n">
        <v>34.14607923</v>
      </c>
      <c r="H55" s="20" t="n">
        <v>2.25076158</v>
      </c>
      <c r="I55" s="18" t="s">
        <v>349</v>
      </c>
      <c r="J55" s="20" t="s">
        <v>349</v>
      </c>
      <c r="K55" s="18" t="n">
        <v>2.27563944</v>
      </c>
      <c r="L55" s="20" t="n">
        <v>0.90376362</v>
      </c>
      <c r="M55" s="18" t="n">
        <v>0</v>
      </c>
      <c r="N55" s="20" t="n">
        <v>0</v>
      </c>
      <c r="O55" s="18" t="n">
        <v>0</v>
      </c>
      <c r="P55" s="20" t="n">
        <v>0</v>
      </c>
      <c r="Q55" s="18" t="n">
        <v>8.75494389</v>
      </c>
      <c r="R55" s="20" t="n">
        <v>1.50089766</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(2767.0/B57*100)</f>
        <v/>
      </c>
      <c r="D57" s="19" t="n">
        <v>576</v>
      </c>
      <c r="E57" s="18" t="n">
        <v>49.96889744</v>
      </c>
      <c r="F57" s="20" t="n">
        <v>2.19730739</v>
      </c>
      <c r="G57" s="18" t="n">
        <v>41.58679653</v>
      </c>
      <c r="H57" s="20" t="n">
        <v>2.07843312</v>
      </c>
      <c r="I57" s="18" t="s">
        <v>349</v>
      </c>
      <c r="J57" s="20" t="s">
        <v>349</v>
      </c>
      <c r="K57" s="18" t="n">
        <v>1.36281535</v>
      </c>
      <c r="L57" s="20" t="n">
        <v>0.57264496</v>
      </c>
      <c r="M57" s="18" t="n">
        <v>0</v>
      </c>
      <c r="N57" s="20" t="n">
        <v>0</v>
      </c>
      <c r="O57" s="18" t="n">
        <v>0</v>
      </c>
      <c r="P57" s="20" t="n">
        <v>0</v>
      </c>
      <c r="Q57" s="18" t="n">
        <v>7.08149068</v>
      </c>
      <c r="R57" s="20" t="n">
        <v>1.15846096</v>
      </c>
    </row>
    <row r="58" spans="1:18">
      <c r="A58" s="15" t="s">
        <v>400</v>
      </c>
      <c r="B58" s="17" t="n">
        <v>3737</v>
      </c>
      <c r="C58" s="18">
        <f>(3106.0/B58*100)</f>
        <v/>
      </c>
      <c r="D58" s="19" t="n">
        <v>631</v>
      </c>
      <c r="E58" s="18" t="n">
        <v>59.14433472</v>
      </c>
      <c r="F58" s="20" t="n">
        <v>2.925674</v>
      </c>
      <c r="G58" s="18" t="n">
        <v>36.29951208</v>
      </c>
      <c r="H58" s="20" t="n">
        <v>2.87775912</v>
      </c>
      <c r="I58" s="18" t="s">
        <v>349</v>
      </c>
      <c r="J58" s="20" t="s">
        <v>349</v>
      </c>
      <c r="K58" s="18" t="n">
        <v>0.59634241</v>
      </c>
      <c r="L58" s="20" t="n">
        <v>0.33091802</v>
      </c>
      <c r="M58" s="18" t="n">
        <v>0</v>
      </c>
      <c r="N58" s="20" t="n">
        <v>0</v>
      </c>
      <c r="O58" s="18" t="n">
        <v>0.04457992</v>
      </c>
      <c r="P58" s="20" t="n">
        <v>0.04463754</v>
      </c>
      <c r="Q58" s="18" t="n">
        <v>3.91523087</v>
      </c>
      <c r="R58" s="20" t="n">
        <v>0.73323516</v>
      </c>
    </row>
    <row r="59" spans="1:18">
      <c r="A59" s="15" t="s">
        <v>401</v>
      </c>
      <c r="B59" s="17" t="n">
        <v>2278</v>
      </c>
      <c r="C59" s="18">
        <f>(1910.0/B59*100)</f>
        <v/>
      </c>
      <c r="D59" s="19" t="n">
        <v>368</v>
      </c>
      <c r="E59" s="18" t="n">
        <v>62.33610903</v>
      </c>
      <c r="F59" s="20" t="n">
        <v>2.83887428</v>
      </c>
      <c r="G59" s="18" t="n">
        <v>29.85340042</v>
      </c>
      <c r="H59" s="20" t="n">
        <v>2.75384781</v>
      </c>
      <c r="I59" s="18" t="s">
        <v>349</v>
      </c>
      <c r="J59" s="20" t="s">
        <v>349</v>
      </c>
      <c r="K59" s="18" t="n">
        <v>1.01057964</v>
      </c>
      <c r="L59" s="20" t="n">
        <v>0.44893098</v>
      </c>
      <c r="M59" s="18" t="n">
        <v>0</v>
      </c>
      <c r="N59" s="20" t="n">
        <v>0</v>
      </c>
      <c r="O59" s="18" t="n">
        <v>0</v>
      </c>
      <c r="P59" s="20" t="n">
        <v>0</v>
      </c>
      <c r="Q59" s="18" t="n">
        <v>6.79991091</v>
      </c>
      <c r="R59" s="20" t="n">
        <v>1.61858222</v>
      </c>
    </row>
    <row r="60" spans="1:18">
      <c r="A60" s="15" t="s">
        <v>402</v>
      </c>
      <c r="B60" s="17" t="n">
        <v>2451</v>
      </c>
      <c r="C60" s="18">
        <f>(2037.0/B60*100)</f>
        <v/>
      </c>
      <c r="D60" s="19" t="n">
        <v>414</v>
      </c>
      <c r="E60" s="18" t="n">
        <v>43.33147003</v>
      </c>
      <c r="F60" s="20" t="n">
        <v>2.49319109</v>
      </c>
      <c r="G60" s="18" t="n">
        <v>45.30703096</v>
      </c>
      <c r="H60" s="20" t="n">
        <v>2.74347245</v>
      </c>
      <c r="I60" s="18" t="s">
        <v>349</v>
      </c>
      <c r="J60" s="20" t="s">
        <v>349</v>
      </c>
      <c r="K60" s="18" t="n">
        <v>2.44882181</v>
      </c>
      <c r="L60" s="20" t="n">
        <v>0.90213124</v>
      </c>
      <c r="M60" s="18" t="n">
        <v>0</v>
      </c>
      <c r="N60" s="20" t="n">
        <v>0</v>
      </c>
      <c r="O60" s="18" t="n">
        <v>0.3159241</v>
      </c>
      <c r="P60" s="20" t="n">
        <v>0.35727112</v>
      </c>
      <c r="Q60" s="18" t="n">
        <v>8.596753100000001</v>
      </c>
      <c r="R60" s="20" t="n">
        <v>1.54166836</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(2065.0/B63*100)</f>
        <v/>
      </c>
      <c r="D63" s="19" t="n">
        <v>446</v>
      </c>
      <c r="E63" s="18" t="n">
        <v>39.83989647</v>
      </c>
      <c r="F63" s="20" t="n">
        <v>2.49238935</v>
      </c>
      <c r="G63" s="18" t="n">
        <v>43.94669507</v>
      </c>
      <c r="H63" s="20" t="n">
        <v>2.16666906</v>
      </c>
      <c r="I63" s="18" t="s">
        <v>349</v>
      </c>
      <c r="J63" s="20" t="s">
        <v>349</v>
      </c>
      <c r="K63" s="18" t="n">
        <v>2.31840292</v>
      </c>
      <c r="L63" s="20" t="n">
        <v>0.72859357</v>
      </c>
      <c r="M63" s="18" t="n">
        <v>0</v>
      </c>
      <c r="N63" s="20" t="n">
        <v>0</v>
      </c>
      <c r="O63" s="18" t="n">
        <v>0</v>
      </c>
      <c r="P63" s="20" t="n">
        <v>0</v>
      </c>
      <c r="Q63" s="18" t="n">
        <v>13.89500553</v>
      </c>
      <c r="R63" s="20" t="n">
        <v>2.14521456</v>
      </c>
    </row>
    <row r="64" spans="1:18">
      <c r="A64" s="15" t="s">
        <v>406</v>
      </c>
      <c r="B64" s="17" t="n">
        <v>1790</v>
      </c>
      <c r="C64" s="18">
        <f>(1496.0/B64*100)</f>
        <v/>
      </c>
      <c r="D64" s="19" t="n">
        <v>294</v>
      </c>
      <c r="E64" s="18" t="n">
        <v>26.24404562</v>
      </c>
      <c r="F64" s="20" t="n">
        <v>2.94004281</v>
      </c>
      <c r="G64" s="18" t="n">
        <v>71.41632443</v>
      </c>
      <c r="H64" s="20" t="n">
        <v>3.05474011</v>
      </c>
      <c r="I64" s="18" t="s">
        <v>349</v>
      </c>
      <c r="J64" s="20" t="s">
        <v>349</v>
      </c>
      <c r="K64" s="18" t="n">
        <v>1.56256891</v>
      </c>
      <c r="L64" s="20" t="n">
        <v>0.78119154</v>
      </c>
      <c r="M64" s="18" t="n">
        <v>0</v>
      </c>
      <c r="N64" s="20" t="n">
        <v>0</v>
      </c>
      <c r="O64" s="18" t="n">
        <v>0</v>
      </c>
      <c r="P64" s="20" t="n">
        <v>0</v>
      </c>
      <c r="Q64" s="18" t="n">
        <v>0.77706104</v>
      </c>
      <c r="R64" s="20" t="n">
        <v>0.56063971</v>
      </c>
    </row>
    <row r="65" spans="1:18">
      <c r="A65" s="15" t="s">
        <v>407</v>
      </c>
      <c r="B65" s="17" t="n">
        <v>2634</v>
      </c>
      <c r="C65" s="18">
        <f>(2193.0/B65*100)</f>
        <v/>
      </c>
      <c r="D65" s="19" t="n">
        <v>441</v>
      </c>
      <c r="E65" s="18" t="n">
        <v>41.90298087</v>
      </c>
      <c r="F65" s="20" t="n">
        <v>2.5812571</v>
      </c>
      <c r="G65" s="18" t="n">
        <v>46.86654437</v>
      </c>
      <c r="H65" s="20" t="n">
        <v>2.73978836</v>
      </c>
      <c r="I65" s="18" t="s">
        <v>349</v>
      </c>
      <c r="J65" s="20" t="s">
        <v>349</v>
      </c>
      <c r="K65" s="18" t="n">
        <v>3.84472065</v>
      </c>
      <c r="L65" s="20" t="n">
        <v>1.13468017</v>
      </c>
      <c r="M65" s="18" t="n">
        <v>0</v>
      </c>
      <c r="N65" s="20" t="n">
        <v>0</v>
      </c>
      <c r="O65" s="18" t="n">
        <v>0</v>
      </c>
      <c r="P65" s="20" t="n">
        <v>0</v>
      </c>
      <c r="Q65" s="18" t="n">
        <v>7.38575412</v>
      </c>
      <c r="R65" s="20" t="n">
        <v>1.3891427</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(2054.0/B69*100)</f>
        <v/>
      </c>
      <c r="D69" s="19" t="n">
        <v>412</v>
      </c>
      <c r="E69" s="18" t="n">
        <v>37.9389388</v>
      </c>
      <c r="F69" s="20" t="n">
        <v>2.83026846</v>
      </c>
      <c r="G69" s="18" t="n">
        <v>62.0610612</v>
      </c>
      <c r="H69" s="20" t="n">
        <v>2.83026846</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41.52091466</v>
      </c>
      <c r="F74" s="20" t="n">
        <v>2.91324741</v>
      </c>
      <c r="G74" s="18" t="n">
        <v>49.91689108</v>
      </c>
      <c r="H74" s="20" t="n">
        <v>2.89872019</v>
      </c>
      <c r="I74" s="18" t="s">
        <v>349</v>
      </c>
      <c r="J74" s="20" t="s">
        <v>349</v>
      </c>
      <c r="K74" s="18" t="n">
        <v>4.41514256</v>
      </c>
      <c r="L74" s="20" t="n">
        <v>1.0072519</v>
      </c>
      <c r="M74" s="18" t="n">
        <v>0</v>
      </c>
      <c r="N74" s="20" t="n">
        <v>0</v>
      </c>
      <c r="O74" s="18" t="n">
        <v>0</v>
      </c>
      <c r="P74" s="20" t="n">
        <v>0</v>
      </c>
      <c r="Q74" s="18" t="n">
        <v>4.1470517</v>
      </c>
      <c r="R74" s="20" t="n">
        <v>1.02349678</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(2539.0/B78*100)</f>
        <v/>
      </c>
      <c r="D78" s="19" t="n">
        <v>501</v>
      </c>
      <c r="E78" s="18" t="n">
        <v>36.0950875</v>
      </c>
      <c r="F78" s="20" t="n">
        <v>2.32397445</v>
      </c>
      <c r="G78" s="18" t="n">
        <v>63.9049125</v>
      </c>
      <c r="H78" s="20" t="n">
        <v>2.32397445</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(722.0/B79*100)</f>
        <v/>
      </c>
      <c r="D79" s="19" t="n">
        <v>148</v>
      </c>
      <c r="E79" s="18" t="n">
        <v>38.58300734</v>
      </c>
      <c r="F79" s="20" t="n">
        <v>4.63451793</v>
      </c>
      <c r="G79" s="18" t="n">
        <v>57.42500485</v>
      </c>
      <c r="H79" s="20" t="n">
        <v>4.41196992</v>
      </c>
      <c r="I79" s="18" t="s">
        <v>349</v>
      </c>
      <c r="J79" s="20" t="s">
        <v>349</v>
      </c>
      <c r="K79" s="18" t="n">
        <v>2.61619247</v>
      </c>
      <c r="L79" s="20" t="n">
        <v>1.460598</v>
      </c>
      <c r="M79" s="18" t="n">
        <v>0</v>
      </c>
      <c r="N79" s="20" t="n">
        <v>0</v>
      </c>
      <c r="O79" s="18" t="n">
        <v>0</v>
      </c>
      <c r="P79" s="20" t="n">
        <v>0</v>
      </c>
      <c r="Q79" s="18" t="n">
        <v>1.37579534</v>
      </c>
      <c r="R79" s="20" t="n">
        <v>0.97826422</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331</v>
      </c>
    </row>
    <row r="2" spans="1:26">
      <c r="A2" s="5" t="s">
        <v>535</v>
      </c>
    </row>
    <row customHeight="1" ht="30" r="4" spans="1:26">
      <c r="A4" s="6" t="n"/>
      <c r="B4" s="7" t="s">
        <v>333</v>
      </c>
      <c r="C4" s="7" t="s">
        <v>334</v>
      </c>
      <c r="D4" s="8" t="s">
        <v>333</v>
      </c>
      <c r="E4" s="9" t="s">
        <v>440</v>
      </c>
      <c r="F4" s="10" t="n"/>
      <c r="G4" s="9" t="s">
        <v>536</v>
      </c>
      <c r="H4" s="10" t="n"/>
      <c r="I4" s="9" t="s">
        <v>441</v>
      </c>
      <c r="J4" s="10" t="n"/>
      <c r="K4" s="9" t="s">
        <v>442</v>
      </c>
      <c r="L4" s="10" t="n"/>
      <c r="M4" s="9" t="s">
        <v>443</v>
      </c>
      <c r="N4" s="10" t="n"/>
      <c r="O4" s="9" t="s">
        <v>444</v>
      </c>
      <c r="P4" s="10" t="n"/>
      <c r="Q4" s="9" t="s">
        <v>337</v>
      </c>
      <c r="R4" s="10" t="n"/>
      <c r="S4" s="9" t="s">
        <v>338</v>
      </c>
      <c r="T4" s="10" t="n"/>
      <c r="U4" s="9" t="s">
        <v>339</v>
      </c>
      <c r="V4" s="10" t="n"/>
      <c r="W4" s="9" t="s">
        <v>340</v>
      </c>
      <c r="X4" s="10" t="n"/>
      <c r="Y4" s="9" t="s">
        <v>341</v>
      </c>
      <c r="Z4" s="10" t="n"/>
    </row>
    <row r="5" spans="1:26">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c r="Y5" s="12" t="s">
        <v>345</v>
      </c>
      <c r="Z5" s="11" t="s">
        <v>346</v>
      </c>
    </row>
    <row r="6" spans="1:26">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c r="U7" s="18" t="s">
        <v>349</v>
      </c>
      <c r="V7" s="20" t="s">
        <v>349</v>
      </c>
      <c r="W7" s="18" t="s">
        <v>349</v>
      </c>
      <c r="X7" s="20" t="s">
        <v>349</v>
      </c>
      <c r="Y7" s="18" t="s">
        <v>349</v>
      </c>
      <c r="Z7" s="20" t="s">
        <v>349</v>
      </c>
    </row>
    <row r="8" spans="1:26">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c r="U8" s="18" t="s">
        <v>349</v>
      </c>
      <c r="V8" s="20" t="s">
        <v>349</v>
      </c>
      <c r="W8" s="18" t="s">
        <v>349</v>
      </c>
      <c r="X8" s="20" t="s">
        <v>349</v>
      </c>
      <c r="Y8" s="18" t="s">
        <v>349</v>
      </c>
      <c r="Z8" s="20" t="s">
        <v>349</v>
      </c>
    </row>
    <row r="9" spans="1:26">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c r="U9" s="18" t="s">
        <v>349</v>
      </c>
      <c r="V9" s="20" t="s">
        <v>349</v>
      </c>
      <c r="W9" s="18" t="s">
        <v>349</v>
      </c>
      <c r="X9" s="20" t="s">
        <v>349</v>
      </c>
      <c r="Y9" s="18" t="s">
        <v>349</v>
      </c>
      <c r="Z9" s="20" t="s">
        <v>349</v>
      </c>
    </row>
    <row r="10" spans="1:26">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c r="U10" s="18" t="s">
        <v>349</v>
      </c>
      <c r="V10" s="20" t="s">
        <v>349</v>
      </c>
      <c r="W10" s="18" t="s">
        <v>349</v>
      </c>
      <c r="X10" s="20" t="s">
        <v>349</v>
      </c>
      <c r="Y10" s="18" t="s">
        <v>349</v>
      </c>
      <c r="Z10" s="20" t="s">
        <v>349</v>
      </c>
    </row>
    <row r="11" spans="1:26">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c r="W11" s="18" t="s">
        <v>349</v>
      </c>
      <c r="X11" s="20" t="s">
        <v>349</v>
      </c>
      <c r="Y11" s="18" t="s">
        <v>349</v>
      </c>
      <c r="Z11" s="20" t="s">
        <v>349</v>
      </c>
    </row>
    <row r="12" spans="1:26">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c r="U12" s="18" t="s">
        <v>349</v>
      </c>
      <c r="V12" s="20" t="s">
        <v>349</v>
      </c>
      <c r="W12" s="18" t="s">
        <v>349</v>
      </c>
      <c r="X12" s="20" t="s">
        <v>349</v>
      </c>
      <c r="Y12" s="18" t="s">
        <v>349</v>
      </c>
      <c r="Z12" s="20" t="s">
        <v>349</v>
      </c>
    </row>
    <row r="13" spans="1:26">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c r="U13" s="18" t="s">
        <v>349</v>
      </c>
      <c r="V13" s="20" t="s">
        <v>349</v>
      </c>
      <c r="W13" s="18" t="s">
        <v>349</v>
      </c>
      <c r="X13" s="20" t="s">
        <v>349</v>
      </c>
      <c r="Y13" s="18" t="s">
        <v>349</v>
      </c>
      <c r="Z13" s="20" t="s">
        <v>349</v>
      </c>
    </row>
    <row r="14" spans="1:26">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c r="U14" s="18" t="s">
        <v>349</v>
      </c>
      <c r="V14" s="20" t="s">
        <v>349</v>
      </c>
      <c r="W14" s="18" t="s">
        <v>349</v>
      </c>
      <c r="X14" s="20" t="s">
        <v>349</v>
      </c>
      <c r="Y14" s="18" t="s">
        <v>349</v>
      </c>
      <c r="Z14" s="20" t="s">
        <v>349</v>
      </c>
    </row>
    <row r="15" spans="1:26">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c r="U15" s="18" t="s">
        <v>349</v>
      </c>
      <c r="V15" s="20" t="s">
        <v>349</v>
      </c>
      <c r="W15" s="18" t="s">
        <v>349</v>
      </c>
      <c r="X15" s="20" t="s">
        <v>349</v>
      </c>
      <c r="Y15" s="18" t="s">
        <v>349</v>
      </c>
      <c r="Z15" s="20" t="s">
        <v>349</v>
      </c>
    </row>
    <row r="16" spans="1:26">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c r="U16" s="18" t="s">
        <v>349</v>
      </c>
      <c r="V16" s="20" t="s">
        <v>349</v>
      </c>
      <c r="W16" s="18" t="s">
        <v>349</v>
      </c>
      <c r="X16" s="20" t="s">
        <v>349</v>
      </c>
      <c r="Y16" s="18" t="s">
        <v>349</v>
      </c>
      <c r="Z16" s="20" t="s">
        <v>349</v>
      </c>
    </row>
    <row r="17" spans="1:26">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c r="U17" s="18" t="s">
        <v>349</v>
      </c>
      <c r="V17" s="20" t="s">
        <v>349</v>
      </c>
      <c r="W17" s="18" t="s">
        <v>349</v>
      </c>
      <c r="X17" s="20" t="s">
        <v>349</v>
      </c>
      <c r="Y17" s="18" t="s">
        <v>349</v>
      </c>
      <c r="Z17" s="20" t="s">
        <v>349</v>
      </c>
    </row>
    <row r="18" spans="1:26">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c r="U18" s="18" t="s">
        <v>349</v>
      </c>
      <c r="V18" s="20" t="s">
        <v>349</v>
      </c>
      <c r="W18" s="18" t="s">
        <v>349</v>
      </c>
      <c r="X18" s="20" t="s">
        <v>349</v>
      </c>
      <c r="Y18" s="18" t="s">
        <v>349</v>
      </c>
      <c r="Z18" s="20" t="s">
        <v>349</v>
      </c>
    </row>
    <row r="19" spans="1:26">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c r="U19" s="18" t="s">
        <v>349</v>
      </c>
      <c r="V19" s="20" t="s">
        <v>349</v>
      </c>
      <c r="W19" s="18" t="s">
        <v>349</v>
      </c>
      <c r="X19" s="20" t="s">
        <v>349</v>
      </c>
      <c r="Y19" s="18" t="s">
        <v>349</v>
      </c>
      <c r="Z19" s="20" t="s">
        <v>349</v>
      </c>
    </row>
    <row r="20" spans="1:26">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c r="U20" s="18" t="s">
        <v>349</v>
      </c>
      <c r="V20" s="20" t="s">
        <v>349</v>
      </c>
      <c r="W20" s="18" t="s">
        <v>349</v>
      </c>
      <c r="X20" s="20" t="s">
        <v>349</v>
      </c>
      <c r="Y20" s="18" t="s">
        <v>349</v>
      </c>
      <c r="Z20" s="20" t="s">
        <v>349</v>
      </c>
    </row>
    <row r="21" spans="1:26">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c r="U21" s="18" t="s">
        <v>349</v>
      </c>
      <c r="V21" s="20" t="s">
        <v>349</v>
      </c>
      <c r="W21" s="18" t="s">
        <v>349</v>
      </c>
      <c r="X21" s="20" t="s">
        <v>349</v>
      </c>
      <c r="Y21" s="18" t="s">
        <v>349</v>
      </c>
      <c r="Z21" s="20" t="s">
        <v>349</v>
      </c>
    </row>
    <row r="22" spans="1:26">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c r="U22" s="18" t="s">
        <v>349</v>
      </c>
      <c r="V22" s="20" t="s">
        <v>349</v>
      </c>
      <c r="W22" s="18" t="s">
        <v>349</v>
      </c>
      <c r="X22" s="20" t="s">
        <v>349</v>
      </c>
      <c r="Y22" s="18" t="s">
        <v>349</v>
      </c>
      <c r="Z22" s="20" t="s">
        <v>349</v>
      </c>
    </row>
    <row r="23" spans="1:26">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c r="U23" s="18" t="s">
        <v>349</v>
      </c>
      <c r="V23" s="20" t="s">
        <v>349</v>
      </c>
      <c r="W23" s="18" t="s">
        <v>349</v>
      </c>
      <c r="X23" s="20" t="s">
        <v>349</v>
      </c>
      <c r="Y23" s="18" t="s">
        <v>349</v>
      </c>
      <c r="Z23" s="20" t="s">
        <v>349</v>
      </c>
    </row>
    <row r="24" spans="1:26">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c r="U24" s="18" t="s">
        <v>349</v>
      </c>
      <c r="V24" s="20" t="s">
        <v>349</v>
      </c>
      <c r="W24" s="18" t="s">
        <v>349</v>
      </c>
      <c r="X24" s="20" t="s">
        <v>349</v>
      </c>
      <c r="Y24" s="18" t="s">
        <v>349</v>
      </c>
      <c r="Z24" s="20" t="s">
        <v>349</v>
      </c>
    </row>
    <row r="25" spans="1:26">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c r="U25" s="18" t="s">
        <v>349</v>
      </c>
      <c r="V25" s="20" t="s">
        <v>349</v>
      </c>
      <c r="W25" s="18" t="s">
        <v>349</v>
      </c>
      <c r="X25" s="20" t="s">
        <v>349</v>
      </c>
      <c r="Y25" s="18" t="s">
        <v>349</v>
      </c>
      <c r="Z25" s="20" t="s">
        <v>349</v>
      </c>
    </row>
    <row r="26" spans="1:26">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c r="U26" s="18" t="s">
        <v>349</v>
      </c>
      <c r="V26" s="20" t="s">
        <v>349</v>
      </c>
      <c r="W26" s="18" t="s">
        <v>349</v>
      </c>
      <c r="X26" s="20" t="s">
        <v>349</v>
      </c>
      <c r="Y26" s="18" t="s">
        <v>349</v>
      </c>
      <c r="Z26" s="20" t="s">
        <v>349</v>
      </c>
    </row>
    <row r="27" spans="1:26">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c r="U27" s="18" t="s">
        <v>349</v>
      </c>
      <c r="V27" s="20" t="s">
        <v>349</v>
      </c>
      <c r="W27" s="18" t="s">
        <v>349</v>
      </c>
      <c r="X27" s="20" t="s">
        <v>349</v>
      </c>
      <c r="Y27" s="18" t="s">
        <v>349</v>
      </c>
      <c r="Z27" s="20" t="s">
        <v>349</v>
      </c>
    </row>
    <row r="28" spans="1:26">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c r="W28" s="18" t="s">
        <v>349</v>
      </c>
      <c r="X28" s="20" t="s">
        <v>349</v>
      </c>
      <c r="Y28" s="18" t="s">
        <v>349</v>
      </c>
      <c r="Z28" s="20" t="s">
        <v>349</v>
      </c>
    </row>
    <row r="29" spans="1:26">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c r="U29" s="18" t="s">
        <v>349</v>
      </c>
      <c r="V29" s="20" t="s">
        <v>349</v>
      </c>
      <c r="W29" s="18" t="s">
        <v>349</v>
      </c>
      <c r="X29" s="20" t="s">
        <v>349</v>
      </c>
      <c r="Y29" s="18" t="s">
        <v>349</v>
      </c>
      <c r="Z29" s="20" t="s">
        <v>349</v>
      </c>
    </row>
    <row r="30" spans="1:26">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c r="U30" s="18" t="s">
        <v>349</v>
      </c>
      <c r="V30" s="20" t="s">
        <v>349</v>
      </c>
      <c r="W30" s="18" t="s">
        <v>349</v>
      </c>
      <c r="X30" s="20" t="s">
        <v>349</v>
      </c>
      <c r="Y30" s="18" t="s">
        <v>349</v>
      </c>
      <c r="Z30" s="20" t="s">
        <v>349</v>
      </c>
    </row>
    <row r="31" spans="1:26">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c r="U31" s="18" t="s">
        <v>349</v>
      </c>
      <c r="V31" s="20" t="s">
        <v>349</v>
      </c>
      <c r="W31" s="18" t="s">
        <v>349</v>
      </c>
      <c r="X31" s="20" t="s">
        <v>349</v>
      </c>
      <c r="Y31" s="18" t="s">
        <v>349</v>
      </c>
      <c r="Z31" s="20" t="s">
        <v>349</v>
      </c>
    </row>
    <row r="32" spans="1:26">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c r="U32" s="18" t="s">
        <v>349</v>
      </c>
      <c r="V32" s="20" t="s">
        <v>349</v>
      </c>
      <c r="W32" s="18" t="s">
        <v>349</v>
      </c>
      <c r="X32" s="20" t="s">
        <v>349</v>
      </c>
      <c r="Y32" s="18" t="s">
        <v>349</v>
      </c>
      <c r="Z32" s="20" t="s">
        <v>349</v>
      </c>
    </row>
    <row r="33" spans="1:26">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c r="U33" s="18" t="s">
        <v>349</v>
      </c>
      <c r="V33" s="20" t="s">
        <v>349</v>
      </c>
      <c r="W33" s="18" t="s">
        <v>349</v>
      </c>
      <c r="X33" s="20" t="s">
        <v>349</v>
      </c>
      <c r="Y33" s="18" t="s">
        <v>349</v>
      </c>
      <c r="Z33" s="20" t="s">
        <v>349</v>
      </c>
    </row>
    <row r="34" spans="1:26">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c r="U34" s="18" t="s">
        <v>349</v>
      </c>
      <c r="V34" s="20" t="s">
        <v>349</v>
      </c>
      <c r="W34" s="18" t="s">
        <v>349</v>
      </c>
      <c r="X34" s="20" t="s">
        <v>349</v>
      </c>
      <c r="Y34" s="18" t="s">
        <v>349</v>
      </c>
      <c r="Z34" s="20" t="s">
        <v>349</v>
      </c>
    </row>
    <row r="35" spans="1:26">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c r="U35" s="18" t="s">
        <v>349</v>
      </c>
      <c r="V35" s="20" t="s">
        <v>349</v>
      </c>
      <c r="W35" s="18" t="s">
        <v>349</v>
      </c>
      <c r="X35" s="20" t="s">
        <v>349</v>
      </c>
      <c r="Y35" s="18" t="s">
        <v>349</v>
      </c>
      <c r="Z35" s="20" t="s">
        <v>349</v>
      </c>
    </row>
    <row r="36" spans="1:26">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c r="U36" s="18" t="s">
        <v>349</v>
      </c>
      <c r="V36" s="20" t="s">
        <v>349</v>
      </c>
      <c r="W36" s="18" t="s">
        <v>349</v>
      </c>
      <c r="X36" s="20" t="s">
        <v>349</v>
      </c>
      <c r="Y36" s="18" t="s">
        <v>349</v>
      </c>
      <c r="Z36" s="20" t="s">
        <v>349</v>
      </c>
    </row>
    <row r="37" spans="1:26">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c r="U37" s="18" t="s">
        <v>349</v>
      </c>
      <c r="V37" s="20" t="s">
        <v>349</v>
      </c>
      <c r="W37" s="18" t="s">
        <v>349</v>
      </c>
      <c r="X37" s="20" t="s">
        <v>349</v>
      </c>
      <c r="Y37" s="18" t="s">
        <v>349</v>
      </c>
      <c r="Z37" s="20" t="s">
        <v>349</v>
      </c>
    </row>
    <row r="38" spans="1:26">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c r="U38" s="18" t="s">
        <v>349</v>
      </c>
      <c r="V38" s="20" t="s">
        <v>349</v>
      </c>
      <c r="W38" s="18" t="s">
        <v>349</v>
      </c>
      <c r="X38" s="20" t="s">
        <v>349</v>
      </c>
      <c r="Y38" s="18" t="s">
        <v>349</v>
      </c>
      <c r="Z38" s="20" t="s">
        <v>349</v>
      </c>
    </row>
    <row r="39" spans="1:26">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c r="U39" s="18" t="s">
        <v>349</v>
      </c>
      <c r="V39" s="20" t="s">
        <v>349</v>
      </c>
      <c r="W39" s="18" t="s">
        <v>349</v>
      </c>
      <c r="X39" s="20" t="s">
        <v>349</v>
      </c>
      <c r="Y39" s="18" t="s">
        <v>349</v>
      </c>
      <c r="Z39" s="20" t="s">
        <v>349</v>
      </c>
    </row>
    <row r="40" spans="1:26">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c r="U40" s="18" t="s">
        <v>349</v>
      </c>
      <c r="V40" s="20" t="s">
        <v>349</v>
      </c>
      <c r="W40" s="18" t="s">
        <v>349</v>
      </c>
      <c r="X40" s="20" t="s">
        <v>349</v>
      </c>
      <c r="Y40" s="18" t="s">
        <v>349</v>
      </c>
      <c r="Z40" s="20" t="s">
        <v>349</v>
      </c>
    </row>
    <row r="41" spans="1:26">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c r="U41" s="18" t="s">
        <v>349</v>
      </c>
      <c r="V41" s="20" t="s">
        <v>349</v>
      </c>
      <c r="W41" s="18" t="s">
        <v>349</v>
      </c>
      <c r="X41" s="20" t="s">
        <v>349</v>
      </c>
      <c r="Y41" s="18" t="s">
        <v>349</v>
      </c>
      <c r="Z41" s="20" t="s">
        <v>349</v>
      </c>
    </row>
    <row r="42" spans="1:26">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386</v>
      </c>
      <c r="B44" s="17" t="n">
        <v>2691</v>
      </c>
      <c r="C44" s="18">
        <f>(2242.0/B44*100)</f>
        <v/>
      </c>
      <c r="D44" s="19" t="n">
        <v>449</v>
      </c>
      <c r="E44" s="18" t="n">
        <v>29.10881331</v>
      </c>
      <c r="F44" s="20" t="n">
        <v>2.65326811</v>
      </c>
      <c r="G44" s="18" t="n">
        <v>0</v>
      </c>
      <c r="H44" s="20" t="n">
        <v>0</v>
      </c>
      <c r="I44" s="18" t="n">
        <v>6.40100538</v>
      </c>
      <c r="J44" s="20" t="n">
        <v>1.48630553</v>
      </c>
      <c r="K44" s="18" t="n">
        <v>3.04763487</v>
      </c>
      <c r="L44" s="20" t="n">
        <v>0.64157882</v>
      </c>
      <c r="M44" s="18" t="n">
        <v>2.64108894</v>
      </c>
      <c r="N44" s="20" t="n">
        <v>0.75906842</v>
      </c>
      <c r="O44" s="18" t="n">
        <v>14.45233685</v>
      </c>
      <c r="P44" s="20" t="n">
        <v>1.92768276</v>
      </c>
      <c r="Q44" s="18" t="s">
        <v>349</v>
      </c>
      <c r="R44" s="20" t="s">
        <v>349</v>
      </c>
      <c r="S44" s="18" t="n">
        <v>4.93191794</v>
      </c>
      <c r="T44" s="20" t="n">
        <v>1.15992823</v>
      </c>
      <c r="U44" s="18" t="n">
        <v>0</v>
      </c>
      <c r="V44" s="20" t="n">
        <v>0</v>
      </c>
      <c r="W44" s="18" t="n">
        <v>0</v>
      </c>
      <c r="X44" s="20" t="n">
        <v>0</v>
      </c>
      <c r="Y44" s="18" t="n">
        <v>39.41720271</v>
      </c>
      <c r="Z44" s="20" t="n">
        <v>3.06546827</v>
      </c>
    </row>
    <row r="45" spans="1:26">
      <c r="A45" s="15" t="s">
        <v>387</v>
      </c>
      <c r="B45" s="17" t="n">
        <v>2670</v>
      </c>
      <c r="C45" s="18">
        <f>(2216.0/B45*100)</f>
        <v/>
      </c>
      <c r="D45" s="19" t="n">
        <v>454</v>
      </c>
      <c r="E45" s="18" t="n">
        <v>46.53734576</v>
      </c>
      <c r="F45" s="20" t="n">
        <v>2.80467717</v>
      </c>
      <c r="G45" s="18" t="n">
        <v>0</v>
      </c>
      <c r="H45" s="20" t="n">
        <v>0</v>
      </c>
      <c r="I45" s="18" t="n">
        <v>0.53866037</v>
      </c>
      <c r="J45" s="20" t="n">
        <v>0.5007192</v>
      </c>
      <c r="K45" s="18" t="n">
        <v>1.06479219</v>
      </c>
      <c r="L45" s="20" t="n">
        <v>0.33843326</v>
      </c>
      <c r="M45" s="18" t="n">
        <v>1.44935696</v>
      </c>
      <c r="N45" s="20" t="n">
        <v>0.5878435400000001</v>
      </c>
      <c r="O45" s="18" t="n">
        <v>5.70142115</v>
      </c>
      <c r="P45" s="20" t="n">
        <v>1.20740551</v>
      </c>
      <c r="Q45" s="18" t="s">
        <v>349</v>
      </c>
      <c r="R45" s="20" t="s">
        <v>349</v>
      </c>
      <c r="S45" s="18" t="n">
        <v>5.11202587</v>
      </c>
      <c r="T45" s="20" t="n">
        <v>1.16630782</v>
      </c>
      <c r="U45" s="18" t="n">
        <v>0</v>
      </c>
      <c r="V45" s="20" t="n">
        <v>0</v>
      </c>
      <c r="W45" s="18" t="n">
        <v>0</v>
      </c>
      <c r="X45" s="20" t="n">
        <v>0</v>
      </c>
      <c r="Y45" s="18" t="n">
        <v>39.5963977</v>
      </c>
      <c r="Z45" s="20" t="n">
        <v>2.84417469</v>
      </c>
    </row>
    <row r="46" spans="1:26">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c r="W46" s="18" t="s">
        <v>349</v>
      </c>
      <c r="X46" s="20" t="s">
        <v>349</v>
      </c>
      <c r="Y46" s="18" t="s">
        <v>349</v>
      </c>
      <c r="Z46" s="20" t="s">
        <v>349</v>
      </c>
    </row>
    <row r="47" spans="1:26">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c r="W47" s="18" t="s">
        <v>349</v>
      </c>
      <c r="X47" s="20" t="s">
        <v>349</v>
      </c>
      <c r="Y47" s="18" t="s">
        <v>349</v>
      </c>
      <c r="Z47" s="20" t="s">
        <v>349</v>
      </c>
    </row>
    <row r="48" spans="1:26">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c r="U48" s="18" t="s">
        <v>349</v>
      </c>
      <c r="V48" s="20" t="s">
        <v>349</v>
      </c>
      <c r="W48" s="18" t="s">
        <v>349</v>
      </c>
      <c r="X48" s="20" t="s">
        <v>349</v>
      </c>
      <c r="Y48" s="18" t="s">
        <v>349</v>
      </c>
      <c r="Z48" s="20" t="s">
        <v>349</v>
      </c>
    </row>
    <row r="49" spans="1:26">
      <c r="A49" s="15" t="s">
        <v>391</v>
      </c>
      <c r="B49" s="17" t="n">
        <v>3331</v>
      </c>
      <c r="C49" s="18">
        <f>(2795.0/B49*100)</f>
        <v/>
      </c>
      <c r="D49" s="19" t="n">
        <v>536</v>
      </c>
      <c r="E49" s="18" t="n">
        <v>25.69636877</v>
      </c>
      <c r="F49" s="20" t="n">
        <v>2.39598185</v>
      </c>
      <c r="G49" s="18" t="n">
        <v>0</v>
      </c>
      <c r="H49" s="20" t="n">
        <v>0</v>
      </c>
      <c r="I49" s="18" t="n">
        <v>3.10728475</v>
      </c>
      <c r="J49" s="20" t="n">
        <v>0.7947989600000001</v>
      </c>
      <c r="K49" s="18" t="n">
        <v>4.6829653</v>
      </c>
      <c r="L49" s="20" t="n">
        <v>1.18807214</v>
      </c>
      <c r="M49" s="18" t="n">
        <v>0.51099556</v>
      </c>
      <c r="N49" s="20" t="n">
        <v>0.25636767</v>
      </c>
      <c r="O49" s="18" t="n">
        <v>22.51591347</v>
      </c>
      <c r="P49" s="20" t="n">
        <v>2.8337361</v>
      </c>
      <c r="Q49" s="18" t="s">
        <v>349</v>
      </c>
      <c r="R49" s="20" t="s">
        <v>349</v>
      </c>
      <c r="S49" s="18" t="n">
        <v>4.74703743</v>
      </c>
      <c r="T49" s="20" t="n">
        <v>1.02998627</v>
      </c>
      <c r="U49" s="18" t="n">
        <v>0</v>
      </c>
      <c r="V49" s="20" t="n">
        <v>0</v>
      </c>
      <c r="W49" s="18" t="n">
        <v>0</v>
      </c>
      <c r="X49" s="20" t="n">
        <v>0</v>
      </c>
      <c r="Y49" s="18" t="n">
        <v>38.73943471</v>
      </c>
      <c r="Z49" s="20" t="n">
        <v>2.97643668</v>
      </c>
    </row>
    <row r="50" spans="1:26">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c r="W50" s="18" t="s">
        <v>349</v>
      </c>
      <c r="X50" s="20" t="s">
        <v>349</v>
      </c>
      <c r="Y50" s="18" t="s">
        <v>349</v>
      </c>
      <c r="Z50" s="20" t="s">
        <v>349</v>
      </c>
    </row>
    <row r="51" spans="1:26">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c r="W51" s="18" t="s">
        <v>349</v>
      </c>
      <c r="X51" s="20" t="s">
        <v>349</v>
      </c>
      <c r="Y51" s="18" t="s">
        <v>349</v>
      </c>
      <c r="Z51" s="20" t="s">
        <v>349</v>
      </c>
    </row>
    <row r="52" spans="1:26">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c r="U52" s="18" t="s">
        <v>349</v>
      </c>
      <c r="V52" s="20" t="s">
        <v>349</v>
      </c>
      <c r="W52" s="18" t="s">
        <v>349</v>
      </c>
      <c r="X52" s="20" t="s">
        <v>349</v>
      </c>
      <c r="Y52" s="18" t="s">
        <v>349</v>
      </c>
      <c r="Z52" s="20" t="s">
        <v>349</v>
      </c>
    </row>
    <row r="53" spans="1:26">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c r="W53" s="18" t="s">
        <v>349</v>
      </c>
      <c r="X53" s="20" t="s">
        <v>349</v>
      </c>
      <c r="Y53" s="18" t="s">
        <v>349</v>
      </c>
      <c r="Z53" s="20" t="s">
        <v>349</v>
      </c>
    </row>
    <row r="54" spans="1:26">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c r="W54" s="18" t="s">
        <v>349</v>
      </c>
      <c r="X54" s="20" t="s">
        <v>349</v>
      </c>
      <c r="Y54" s="18" t="s">
        <v>349</v>
      </c>
      <c r="Z54" s="20" t="s">
        <v>349</v>
      </c>
    </row>
    <row r="55" spans="1:26">
      <c r="A55" s="15" t="s">
        <v>397</v>
      </c>
      <c r="B55" s="17" t="n">
        <v>2557</v>
      </c>
      <c r="C55" s="18">
        <f>(2138.0/B55*100)</f>
        <v/>
      </c>
      <c r="D55" s="19" t="n">
        <v>419</v>
      </c>
      <c r="E55" s="18" t="n">
        <v>14.13152277</v>
      </c>
      <c r="F55" s="20" t="n">
        <v>1.94921403</v>
      </c>
      <c r="G55" s="18" t="n">
        <v>0</v>
      </c>
      <c r="H55" s="20" t="n">
        <v>0</v>
      </c>
      <c r="I55" s="18" t="n">
        <v>2.76134107</v>
      </c>
      <c r="J55" s="20" t="n">
        <v>0.69838416</v>
      </c>
      <c r="K55" s="18" t="n">
        <v>6.42962095</v>
      </c>
      <c r="L55" s="20" t="n">
        <v>1.20770509</v>
      </c>
      <c r="M55" s="18" t="n">
        <v>2.74307696</v>
      </c>
      <c r="N55" s="20" t="n">
        <v>0.83506161</v>
      </c>
      <c r="O55" s="18" t="n">
        <v>24.86353592</v>
      </c>
      <c r="P55" s="20" t="n">
        <v>2.00389201</v>
      </c>
      <c r="Q55" s="18" t="s">
        <v>349</v>
      </c>
      <c r="R55" s="20" t="s">
        <v>349</v>
      </c>
      <c r="S55" s="18" t="n">
        <v>3.1891442</v>
      </c>
      <c r="T55" s="20" t="n">
        <v>0.9994598099999999</v>
      </c>
      <c r="U55" s="18" t="n">
        <v>0</v>
      </c>
      <c r="V55" s="20" t="n">
        <v>0</v>
      </c>
      <c r="W55" s="18" t="n">
        <v>0</v>
      </c>
      <c r="X55" s="20" t="n">
        <v>0</v>
      </c>
      <c r="Y55" s="18" t="n">
        <v>45.88175813</v>
      </c>
      <c r="Z55" s="20" t="n">
        <v>2.47215859</v>
      </c>
    </row>
    <row r="56" spans="1:26">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c r="U56" s="18" t="s">
        <v>349</v>
      </c>
      <c r="V56" s="20" t="s">
        <v>349</v>
      </c>
      <c r="W56" s="18" t="s">
        <v>349</v>
      </c>
      <c r="X56" s="20" t="s">
        <v>349</v>
      </c>
      <c r="Y56" s="18" t="s">
        <v>349</v>
      </c>
      <c r="Z56" s="20" t="s">
        <v>349</v>
      </c>
    </row>
    <row r="57" spans="1:26">
      <c r="A57" s="15" t="s">
        <v>399</v>
      </c>
      <c r="B57" s="17" t="n">
        <v>3343</v>
      </c>
      <c r="C57" s="18">
        <f>(2767.0/B57*100)</f>
        <v/>
      </c>
      <c r="D57" s="19" t="n">
        <v>576</v>
      </c>
      <c r="E57" s="18" t="n">
        <v>53.82339158</v>
      </c>
      <c r="F57" s="20" t="n">
        <v>2.69726685</v>
      </c>
      <c r="G57" s="18" t="n">
        <v>0</v>
      </c>
      <c r="H57" s="20" t="n">
        <v>0</v>
      </c>
      <c r="I57" s="18" t="n">
        <v>6.04205068</v>
      </c>
      <c r="J57" s="20" t="n">
        <v>1.04592186</v>
      </c>
      <c r="K57" s="18" t="n">
        <v>5.4586991</v>
      </c>
      <c r="L57" s="20" t="n">
        <v>0.9228756299999999</v>
      </c>
      <c r="M57" s="18" t="n">
        <v>1.71171146</v>
      </c>
      <c r="N57" s="20" t="n">
        <v>0.50677737</v>
      </c>
      <c r="O57" s="18" t="n">
        <v>15.81565992</v>
      </c>
      <c r="P57" s="20" t="n">
        <v>1.77285126</v>
      </c>
      <c r="Q57" s="18" t="s">
        <v>349</v>
      </c>
      <c r="R57" s="20" t="s">
        <v>349</v>
      </c>
      <c r="S57" s="18" t="n">
        <v>1.58021788</v>
      </c>
      <c r="T57" s="20" t="n">
        <v>0.61258009</v>
      </c>
      <c r="U57" s="18" t="n">
        <v>0</v>
      </c>
      <c r="V57" s="20" t="n">
        <v>0</v>
      </c>
      <c r="W57" s="18" t="n">
        <v>0</v>
      </c>
      <c r="X57" s="20" t="n">
        <v>0</v>
      </c>
      <c r="Y57" s="18" t="n">
        <v>15.56826938</v>
      </c>
      <c r="Z57" s="20" t="n">
        <v>2.01875642</v>
      </c>
    </row>
    <row r="58" spans="1:26">
      <c r="A58" s="15" t="s">
        <v>400</v>
      </c>
      <c r="B58" s="17" t="n">
        <v>3737</v>
      </c>
      <c r="C58" s="18">
        <f>(3106.0/B58*100)</f>
        <v/>
      </c>
      <c r="D58" s="19" t="n">
        <v>631</v>
      </c>
      <c r="E58" s="18" t="n">
        <v>44.74400175</v>
      </c>
      <c r="F58" s="20" t="n">
        <v>2.39228761</v>
      </c>
      <c r="G58" s="18" t="n">
        <v>0</v>
      </c>
      <c r="H58" s="20" t="n">
        <v>0</v>
      </c>
      <c r="I58" s="18" t="n">
        <v>6.38350507</v>
      </c>
      <c r="J58" s="20" t="n">
        <v>1.31161105</v>
      </c>
      <c r="K58" s="18" t="n">
        <v>6.86146373</v>
      </c>
      <c r="L58" s="20" t="n">
        <v>1.183069</v>
      </c>
      <c r="M58" s="18" t="n">
        <v>1.31721385</v>
      </c>
      <c r="N58" s="20" t="n">
        <v>0.38628496</v>
      </c>
      <c r="O58" s="18" t="n">
        <v>18.36026382</v>
      </c>
      <c r="P58" s="20" t="n">
        <v>2.29745453</v>
      </c>
      <c r="Q58" s="18" t="s">
        <v>349</v>
      </c>
      <c r="R58" s="20" t="s">
        <v>349</v>
      </c>
      <c r="S58" s="18" t="n">
        <v>0.78016582</v>
      </c>
      <c r="T58" s="20" t="n">
        <v>0.3614152</v>
      </c>
      <c r="U58" s="18" t="n">
        <v>0</v>
      </c>
      <c r="V58" s="20" t="n">
        <v>0</v>
      </c>
      <c r="W58" s="18" t="n">
        <v>0</v>
      </c>
      <c r="X58" s="20" t="n">
        <v>0</v>
      </c>
      <c r="Y58" s="18" t="n">
        <v>21.55338595</v>
      </c>
      <c r="Z58" s="20" t="n">
        <v>2.43890129</v>
      </c>
    </row>
    <row r="59" spans="1:26">
      <c r="A59" s="15" t="s">
        <v>401</v>
      </c>
      <c r="B59" s="17" t="n">
        <v>2278</v>
      </c>
      <c r="C59" s="18">
        <f>(1910.0/B59*100)</f>
        <v/>
      </c>
      <c r="D59" s="19" t="n">
        <v>368</v>
      </c>
      <c r="E59" s="18" t="n">
        <v>42.15012205</v>
      </c>
      <c r="F59" s="20" t="n">
        <v>2.80913525</v>
      </c>
      <c r="G59" s="18" t="n">
        <v>0</v>
      </c>
      <c r="H59" s="20" t="n">
        <v>0</v>
      </c>
      <c r="I59" s="18" t="n">
        <v>1.14397352</v>
      </c>
      <c r="J59" s="20" t="n">
        <v>0.65841629</v>
      </c>
      <c r="K59" s="18" t="n">
        <v>3.26340253</v>
      </c>
      <c r="L59" s="20" t="n">
        <v>1.18945861</v>
      </c>
      <c r="M59" s="18" t="n">
        <v>0.8402806900000001</v>
      </c>
      <c r="N59" s="20" t="n">
        <v>0.44110358</v>
      </c>
      <c r="O59" s="18" t="n">
        <v>10.78562837</v>
      </c>
      <c r="P59" s="20" t="n">
        <v>2.1030207</v>
      </c>
      <c r="Q59" s="18" t="s">
        <v>349</v>
      </c>
      <c r="R59" s="20" t="s">
        <v>349</v>
      </c>
      <c r="S59" s="18" t="n">
        <v>1.12060907</v>
      </c>
      <c r="T59" s="20" t="n">
        <v>0.45562699</v>
      </c>
      <c r="U59" s="18" t="n">
        <v>0</v>
      </c>
      <c r="V59" s="20" t="n">
        <v>0</v>
      </c>
      <c r="W59" s="18" t="n">
        <v>0</v>
      </c>
      <c r="X59" s="20" t="n">
        <v>0</v>
      </c>
      <c r="Y59" s="18" t="n">
        <v>40.69598376</v>
      </c>
      <c r="Z59" s="20" t="n">
        <v>3.10377783</v>
      </c>
    </row>
    <row r="60" spans="1:26">
      <c r="A60" s="15" t="s">
        <v>402</v>
      </c>
      <c r="B60" s="17" t="n">
        <v>2451</v>
      </c>
      <c r="C60" s="18">
        <f>(2037.0/B60*100)</f>
        <v/>
      </c>
      <c r="D60" s="19" t="n">
        <v>414</v>
      </c>
      <c r="E60" s="18" t="n">
        <v>21.65883575</v>
      </c>
      <c r="F60" s="20" t="n">
        <v>1.98510155</v>
      </c>
      <c r="G60" s="18" t="n">
        <v>0</v>
      </c>
      <c r="H60" s="20" t="n">
        <v>0</v>
      </c>
      <c r="I60" s="18" t="n">
        <v>2.74211538</v>
      </c>
      <c r="J60" s="20" t="n">
        <v>0.86404886</v>
      </c>
      <c r="K60" s="18" t="n">
        <v>8.9295855</v>
      </c>
      <c r="L60" s="20" t="n">
        <v>1.55746626</v>
      </c>
      <c r="M60" s="18" t="n">
        <v>2.43750271</v>
      </c>
      <c r="N60" s="20" t="n">
        <v>0.96896936</v>
      </c>
      <c r="O60" s="18" t="n">
        <v>25.61520475</v>
      </c>
      <c r="P60" s="20" t="n">
        <v>2.37200729</v>
      </c>
      <c r="Q60" s="18" t="s">
        <v>349</v>
      </c>
      <c r="R60" s="20" t="s">
        <v>349</v>
      </c>
      <c r="S60" s="18" t="n">
        <v>4.27310778</v>
      </c>
      <c r="T60" s="20" t="n">
        <v>1.16090646</v>
      </c>
      <c r="U60" s="18" t="n">
        <v>0</v>
      </c>
      <c r="V60" s="20" t="n">
        <v>0</v>
      </c>
      <c r="W60" s="18" t="n">
        <v>0.72466157</v>
      </c>
      <c r="X60" s="20" t="n">
        <v>0.45098077</v>
      </c>
      <c r="Y60" s="18" t="n">
        <v>33.61898657</v>
      </c>
      <c r="Z60" s="20" t="n">
        <v>2.77436376</v>
      </c>
    </row>
    <row r="61" spans="1:26">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c r="U61" s="18" t="s">
        <v>349</v>
      </c>
      <c r="V61" s="20" t="s">
        <v>349</v>
      </c>
      <c r="W61" s="18" t="s">
        <v>349</v>
      </c>
      <c r="X61" s="20" t="s">
        <v>349</v>
      </c>
      <c r="Y61" s="18" t="s">
        <v>349</v>
      </c>
      <c r="Z61" s="20" t="s">
        <v>349</v>
      </c>
    </row>
    <row r="62" spans="1:26">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c r="U62" s="18" t="s">
        <v>349</v>
      </c>
      <c r="V62" s="20" t="s">
        <v>349</v>
      </c>
      <c r="W62" s="18" t="s">
        <v>349</v>
      </c>
      <c r="X62" s="20" t="s">
        <v>349</v>
      </c>
      <c r="Y62" s="18" t="s">
        <v>349</v>
      </c>
      <c r="Z62" s="20" t="s">
        <v>349</v>
      </c>
    </row>
    <row r="63" spans="1:26">
      <c r="A63" s="15" t="s">
        <v>405</v>
      </c>
      <c r="B63" s="17" t="n">
        <v>2511</v>
      </c>
      <c r="C63" s="18">
        <f>(2065.0/B63*100)</f>
        <v/>
      </c>
      <c r="D63" s="19" t="n">
        <v>446</v>
      </c>
      <c r="E63" s="18" t="n">
        <v>17.43803677</v>
      </c>
      <c r="F63" s="20" t="n">
        <v>2.08691174</v>
      </c>
      <c r="G63" s="18" t="n">
        <v>0</v>
      </c>
      <c r="H63" s="20" t="n">
        <v>0</v>
      </c>
      <c r="I63" s="18" t="n">
        <v>3.02379793</v>
      </c>
      <c r="J63" s="20" t="n">
        <v>0.8245997</v>
      </c>
      <c r="K63" s="18" t="n">
        <v>1.78150111</v>
      </c>
      <c r="L63" s="20" t="n">
        <v>0.72878083</v>
      </c>
      <c r="M63" s="18" t="n">
        <v>0.52768068</v>
      </c>
      <c r="N63" s="20" t="n">
        <v>0.44625447</v>
      </c>
      <c r="O63" s="18" t="n">
        <v>14.05912133</v>
      </c>
      <c r="P63" s="20" t="n">
        <v>1.89018611</v>
      </c>
      <c r="Q63" s="18" t="s">
        <v>349</v>
      </c>
      <c r="R63" s="20" t="s">
        <v>349</v>
      </c>
      <c r="S63" s="18" t="n">
        <v>3.01190817</v>
      </c>
      <c r="T63" s="20" t="n">
        <v>0.83157429</v>
      </c>
      <c r="U63" s="18" t="n">
        <v>0</v>
      </c>
      <c r="V63" s="20" t="n">
        <v>0</v>
      </c>
      <c r="W63" s="18" t="n">
        <v>0</v>
      </c>
      <c r="X63" s="20" t="n">
        <v>0</v>
      </c>
      <c r="Y63" s="18" t="n">
        <v>60.15795401</v>
      </c>
      <c r="Z63" s="20" t="n">
        <v>2.84674345</v>
      </c>
    </row>
    <row r="64" spans="1:26">
      <c r="A64" s="15" t="s">
        <v>406</v>
      </c>
      <c r="B64" s="17" t="n">
        <v>1790</v>
      </c>
      <c r="C64" s="18">
        <f>(1496.0/B64*100)</f>
        <v/>
      </c>
      <c r="D64" s="19" t="n">
        <v>294</v>
      </c>
      <c r="E64" s="18" t="n">
        <v>22.77964124</v>
      </c>
      <c r="F64" s="20" t="n">
        <v>2.32384703</v>
      </c>
      <c r="G64" s="18" t="n">
        <v>0</v>
      </c>
      <c r="H64" s="20" t="n">
        <v>0</v>
      </c>
      <c r="I64" s="18" t="n">
        <v>1.47336691</v>
      </c>
      <c r="J64" s="20" t="n">
        <v>0.75376544</v>
      </c>
      <c r="K64" s="18" t="n">
        <v>19.85120933</v>
      </c>
      <c r="L64" s="20" t="n">
        <v>2.45493525</v>
      </c>
      <c r="M64" s="18" t="n">
        <v>1.75420267</v>
      </c>
      <c r="N64" s="20" t="n">
        <v>0.76590932</v>
      </c>
      <c r="O64" s="18" t="n">
        <v>40.85615982</v>
      </c>
      <c r="P64" s="20" t="n">
        <v>2.88399988</v>
      </c>
      <c r="Q64" s="18" t="s">
        <v>349</v>
      </c>
      <c r="R64" s="20" t="s">
        <v>349</v>
      </c>
      <c r="S64" s="18" t="n">
        <v>1.56256891</v>
      </c>
      <c r="T64" s="20" t="n">
        <v>0.78119154</v>
      </c>
      <c r="U64" s="18" t="n">
        <v>0</v>
      </c>
      <c r="V64" s="20" t="n">
        <v>0</v>
      </c>
      <c r="W64" s="18" t="n">
        <v>0</v>
      </c>
      <c r="X64" s="20" t="n">
        <v>0</v>
      </c>
      <c r="Y64" s="18" t="n">
        <v>11.72285112</v>
      </c>
      <c r="Z64" s="20" t="n">
        <v>1.87277951</v>
      </c>
    </row>
    <row r="65" spans="1:26">
      <c r="A65" s="15" t="s">
        <v>407</v>
      </c>
      <c r="B65" s="17" t="n">
        <v>2634</v>
      </c>
      <c r="C65" s="18">
        <f>(2193.0/B65*100)</f>
        <v/>
      </c>
      <c r="D65" s="19" t="n">
        <v>441</v>
      </c>
      <c r="E65" s="18" t="n">
        <v>19.4289964</v>
      </c>
      <c r="F65" s="20" t="n">
        <v>2.21076775</v>
      </c>
      <c r="G65" s="18" t="n">
        <v>0</v>
      </c>
      <c r="H65" s="20" t="n">
        <v>0</v>
      </c>
      <c r="I65" s="18" t="n">
        <v>1.16335291</v>
      </c>
      <c r="J65" s="20" t="n">
        <v>0.5163321</v>
      </c>
      <c r="K65" s="18" t="n">
        <v>3.74257662</v>
      </c>
      <c r="L65" s="20" t="n">
        <v>1.0604133</v>
      </c>
      <c r="M65" s="18" t="n">
        <v>1.13540377</v>
      </c>
      <c r="N65" s="20" t="n">
        <v>0.62003914</v>
      </c>
      <c r="O65" s="18" t="n">
        <v>31.05588246</v>
      </c>
      <c r="P65" s="20" t="n">
        <v>2.49465976</v>
      </c>
      <c r="Q65" s="18" t="s">
        <v>349</v>
      </c>
      <c r="R65" s="20" t="s">
        <v>349</v>
      </c>
      <c r="S65" s="18" t="n">
        <v>5.10592548</v>
      </c>
      <c r="T65" s="20" t="n">
        <v>1.1310662</v>
      </c>
      <c r="U65" s="18" t="n">
        <v>0</v>
      </c>
      <c r="V65" s="20" t="n">
        <v>0</v>
      </c>
      <c r="W65" s="18" t="n">
        <v>0</v>
      </c>
      <c r="X65" s="20" t="n">
        <v>0</v>
      </c>
      <c r="Y65" s="18" t="n">
        <v>38.36786236</v>
      </c>
      <c r="Z65" s="20" t="n">
        <v>2.36527191</v>
      </c>
    </row>
    <row r="66" spans="1:26">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c r="U66" s="18" t="s">
        <v>349</v>
      </c>
      <c r="V66" s="20" t="s">
        <v>349</v>
      </c>
      <c r="W66" s="18" t="s">
        <v>349</v>
      </c>
      <c r="X66" s="20" t="s">
        <v>349</v>
      </c>
      <c r="Y66" s="18" t="s">
        <v>349</v>
      </c>
      <c r="Z66" s="20" t="s">
        <v>349</v>
      </c>
    </row>
    <row r="67" spans="1:26">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c r="W67" s="18" t="s">
        <v>349</v>
      </c>
      <c r="X67" s="20" t="s">
        <v>349</v>
      </c>
      <c r="Y67" s="18" t="s">
        <v>349</v>
      </c>
      <c r="Z67" s="20" t="s">
        <v>349</v>
      </c>
    </row>
    <row r="68" spans="1:26">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c r="U68" s="18" t="s">
        <v>349</v>
      </c>
      <c r="V68" s="20" t="s">
        <v>349</v>
      </c>
      <c r="W68" s="18" t="s">
        <v>349</v>
      </c>
      <c r="X68" s="20" t="s">
        <v>349</v>
      </c>
      <c r="Y68" s="18" t="s">
        <v>349</v>
      </c>
      <c r="Z68" s="20" t="s">
        <v>349</v>
      </c>
    </row>
    <row r="69" spans="1:26">
      <c r="A69" s="15" t="s">
        <v>411</v>
      </c>
      <c r="B69" s="17" t="n">
        <v>2466</v>
      </c>
      <c r="C69" s="18">
        <f>(2054.0/B69*100)</f>
        <v/>
      </c>
      <c r="D69" s="19" t="n">
        <v>412</v>
      </c>
      <c r="E69" s="18" t="n">
        <v>70.03905183000001</v>
      </c>
      <c r="F69" s="20" t="n">
        <v>2.52837077</v>
      </c>
      <c r="G69" s="18" t="n">
        <v>0</v>
      </c>
      <c r="H69" s="20" t="n">
        <v>0</v>
      </c>
      <c r="I69" s="18" t="n">
        <v>3.60380649</v>
      </c>
      <c r="J69" s="20" t="n">
        <v>0.9019832800000001</v>
      </c>
      <c r="K69" s="18" t="n">
        <v>2.90461725</v>
      </c>
      <c r="L69" s="20" t="n">
        <v>0.92677513</v>
      </c>
      <c r="M69" s="18" t="n">
        <v>0.58090039</v>
      </c>
      <c r="N69" s="20" t="n">
        <v>0.34689822</v>
      </c>
      <c r="O69" s="18" t="n">
        <v>22.64626981</v>
      </c>
      <c r="P69" s="20" t="n">
        <v>2.19085549</v>
      </c>
      <c r="Q69" s="18" t="s">
        <v>349</v>
      </c>
      <c r="R69" s="20" t="s">
        <v>349</v>
      </c>
      <c r="S69" s="18" t="n">
        <v>0</v>
      </c>
      <c r="T69" s="20" t="n">
        <v>0</v>
      </c>
      <c r="U69" s="18" t="n">
        <v>0</v>
      </c>
      <c r="V69" s="20" t="n">
        <v>0</v>
      </c>
      <c r="W69" s="18" t="n">
        <v>0</v>
      </c>
      <c r="X69" s="20" t="n">
        <v>0</v>
      </c>
      <c r="Y69" s="18" t="n">
        <v>0.22535423</v>
      </c>
      <c r="Z69" s="20" t="n">
        <v>0.22522483</v>
      </c>
    </row>
    <row r="70" spans="1:26">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c r="U70" s="18" t="s">
        <v>349</v>
      </c>
      <c r="V70" s="20" t="s">
        <v>349</v>
      </c>
      <c r="W70" s="18" t="s">
        <v>349</v>
      </c>
      <c r="X70" s="20" t="s">
        <v>349</v>
      </c>
      <c r="Y70" s="18" t="s">
        <v>349</v>
      </c>
      <c r="Z70" s="20" t="s">
        <v>349</v>
      </c>
    </row>
    <row r="71" spans="1:26">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c r="U71" s="18" t="s">
        <v>349</v>
      </c>
      <c r="V71" s="20" t="s">
        <v>349</v>
      </c>
      <c r="W71" s="18" t="s">
        <v>349</v>
      </c>
      <c r="X71" s="20" t="s">
        <v>349</v>
      </c>
      <c r="Y71" s="18" t="s">
        <v>349</v>
      </c>
      <c r="Z71" s="20" t="s">
        <v>349</v>
      </c>
    </row>
    <row r="72" spans="1:26">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c r="U72" s="18" t="s">
        <v>349</v>
      </c>
      <c r="V72" s="20" t="s">
        <v>349</v>
      </c>
      <c r="W72" s="18" t="s">
        <v>349</v>
      </c>
      <c r="X72" s="20" t="s">
        <v>349</v>
      </c>
      <c r="Y72" s="18" t="s">
        <v>349</v>
      </c>
      <c r="Z72" s="20" t="s">
        <v>349</v>
      </c>
    </row>
    <row r="73" spans="1:26">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c r="U73" s="18" t="s">
        <v>349</v>
      </c>
      <c r="V73" s="20" t="s">
        <v>349</v>
      </c>
      <c r="W73" s="18" t="s">
        <v>349</v>
      </c>
      <c r="X73" s="20" t="s">
        <v>349</v>
      </c>
      <c r="Y73" s="18" t="s">
        <v>349</v>
      </c>
      <c r="Z73" s="20" t="s">
        <v>349</v>
      </c>
    </row>
    <row r="74" spans="1:26">
      <c r="A74" s="15" t="s">
        <v>416</v>
      </c>
      <c r="B74" s="17" t="n">
        <v>2453</v>
      </c>
      <c r="C74" s="18">
        <f>(2033.0/B74*100)</f>
        <v/>
      </c>
      <c r="D74" s="19" t="n">
        <v>420</v>
      </c>
      <c r="E74" s="18" t="n">
        <v>27.07499036</v>
      </c>
      <c r="F74" s="20" t="n">
        <v>2.36311708</v>
      </c>
      <c r="G74" s="18" t="n">
        <v>0</v>
      </c>
      <c r="H74" s="20" t="n">
        <v>0</v>
      </c>
      <c r="I74" s="18" t="n">
        <v>1.51975664</v>
      </c>
      <c r="J74" s="20" t="n">
        <v>0.60262963</v>
      </c>
      <c r="K74" s="18" t="n">
        <v>8.371920640000001</v>
      </c>
      <c r="L74" s="20" t="n">
        <v>1.44595155</v>
      </c>
      <c r="M74" s="18" t="n">
        <v>0.48871351</v>
      </c>
      <c r="N74" s="20" t="n">
        <v>0.29341786</v>
      </c>
      <c r="O74" s="18" t="n">
        <v>37.20104911</v>
      </c>
      <c r="P74" s="20" t="n">
        <v>2.59981002</v>
      </c>
      <c r="Q74" s="18" t="s">
        <v>349</v>
      </c>
      <c r="R74" s="20" t="s">
        <v>349</v>
      </c>
      <c r="S74" s="18" t="n">
        <v>6.96765477</v>
      </c>
      <c r="T74" s="20" t="n">
        <v>1.45614179</v>
      </c>
      <c r="U74" s="18" t="n">
        <v>0</v>
      </c>
      <c r="V74" s="20" t="n">
        <v>0</v>
      </c>
      <c r="W74" s="18" t="n">
        <v>0</v>
      </c>
      <c r="X74" s="20" t="n">
        <v>0</v>
      </c>
      <c r="Y74" s="18" t="n">
        <v>18.37591497</v>
      </c>
      <c r="Z74" s="20" t="n">
        <v>2.02677706</v>
      </c>
    </row>
    <row r="75" spans="1:26">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c r="W75" s="18" t="s">
        <v>349</v>
      </c>
      <c r="X75" s="20" t="s">
        <v>349</v>
      </c>
      <c r="Y75" s="18" t="s">
        <v>349</v>
      </c>
      <c r="Z75" s="20" t="s">
        <v>349</v>
      </c>
    </row>
    <row r="76" spans="1:26">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c r="W76" s="18" t="s">
        <v>349</v>
      </c>
      <c r="X76" s="20" t="s">
        <v>349</v>
      </c>
      <c r="Y76" s="18" t="s">
        <v>349</v>
      </c>
      <c r="Z76" s="20" t="s">
        <v>349</v>
      </c>
    </row>
    <row r="77" spans="1:26">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c r="W77" s="18" t="s">
        <v>349</v>
      </c>
      <c r="X77" s="20" t="s">
        <v>349</v>
      </c>
      <c r="Y77" s="18" t="s">
        <v>349</v>
      </c>
      <c r="Z77" s="20" t="s">
        <v>349</v>
      </c>
    </row>
    <row r="78" spans="1:26">
      <c r="A78" s="15" t="s">
        <v>420</v>
      </c>
      <c r="B78" s="17" t="n">
        <v>3040</v>
      </c>
      <c r="C78" s="18">
        <f>(2539.0/B78*100)</f>
        <v/>
      </c>
      <c r="D78" s="19" t="n">
        <v>501</v>
      </c>
      <c r="E78" s="18" t="n">
        <v>39.34461189</v>
      </c>
      <c r="F78" s="20" t="n">
        <v>2.12669008</v>
      </c>
      <c r="G78" s="18" t="n">
        <v>0</v>
      </c>
      <c r="H78" s="20" t="n">
        <v>0</v>
      </c>
      <c r="I78" s="18" t="n">
        <v>4.88971041</v>
      </c>
      <c r="J78" s="20" t="n">
        <v>0.95460773</v>
      </c>
      <c r="K78" s="18" t="n">
        <v>4.99077468</v>
      </c>
      <c r="L78" s="20" t="n">
        <v>1.26854371</v>
      </c>
      <c r="M78" s="18" t="n">
        <v>2.650354</v>
      </c>
      <c r="N78" s="20" t="n">
        <v>0.56768627</v>
      </c>
      <c r="O78" s="18" t="n">
        <v>44.72598059</v>
      </c>
      <c r="P78" s="20" t="n">
        <v>2.29447525</v>
      </c>
      <c r="Q78" s="18" t="s">
        <v>349</v>
      </c>
      <c r="R78" s="20" t="s">
        <v>349</v>
      </c>
      <c r="S78" s="18" t="n">
        <v>0</v>
      </c>
      <c r="T78" s="20" t="n">
        <v>0</v>
      </c>
      <c r="U78" s="18" t="n">
        <v>0</v>
      </c>
      <c r="V78" s="20" t="n">
        <v>0</v>
      </c>
      <c r="W78" s="18" t="n">
        <v>0</v>
      </c>
      <c r="X78" s="20" t="n">
        <v>0</v>
      </c>
      <c r="Y78" s="18" t="n">
        <v>3.39856842</v>
      </c>
      <c r="Z78" s="20" t="n">
        <v>0.7745702800000001</v>
      </c>
    </row>
    <row customHeight="1" ht="25" r="79" spans="1:26">
      <c r="A79" s="15" t="s">
        <v>421</v>
      </c>
      <c r="B79" s="17" t="n">
        <v>870</v>
      </c>
      <c r="C79" s="18">
        <f>(722.0/B79*100)</f>
        <v/>
      </c>
      <c r="D79" s="19" t="n">
        <v>148</v>
      </c>
      <c r="E79" s="18" t="n">
        <v>19.61286372</v>
      </c>
      <c r="F79" s="20" t="n">
        <v>4.4091646</v>
      </c>
      <c r="G79" s="18" t="n">
        <v>0</v>
      </c>
      <c r="H79" s="20" t="n">
        <v>0</v>
      </c>
      <c r="I79" s="18" t="n">
        <v>2.24443175</v>
      </c>
      <c r="J79" s="20" t="n">
        <v>1.30980266</v>
      </c>
      <c r="K79" s="18" t="n">
        <v>1.71553225</v>
      </c>
      <c r="L79" s="20" t="n">
        <v>0.4531602</v>
      </c>
      <c r="M79" s="18" t="n">
        <v>2.03132088</v>
      </c>
      <c r="N79" s="20" t="n">
        <v>1.18861569</v>
      </c>
      <c r="O79" s="18" t="n">
        <v>35.88514664</v>
      </c>
      <c r="P79" s="20" t="n">
        <v>5.10418513</v>
      </c>
      <c r="Q79" s="18" t="s">
        <v>349</v>
      </c>
      <c r="R79" s="20" t="s">
        <v>349</v>
      </c>
      <c r="S79" s="18" t="n">
        <v>4.95751728</v>
      </c>
      <c r="T79" s="20" t="n">
        <v>1.87816565</v>
      </c>
      <c r="U79" s="18" t="n">
        <v>0</v>
      </c>
      <c r="V79" s="20" t="n">
        <v>0</v>
      </c>
      <c r="W79" s="18" t="n">
        <v>0</v>
      </c>
      <c r="X79" s="20" t="n">
        <v>0</v>
      </c>
      <c r="Y79" s="18" t="n">
        <v>33.55318747</v>
      </c>
      <c r="Z79" s="20" t="n">
        <v>4.69491282</v>
      </c>
    </row>
    <row r="80" spans="1:26">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c r="Y80" s="18" t="s">
        <v>349</v>
      </c>
      <c r="Z80" s="20" t="s">
        <v>349</v>
      </c>
    </row>
    <row r="81" spans="1:26">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c r="U81" s="18" t="s">
        <v>349</v>
      </c>
      <c r="V81" s="20" t="s">
        <v>349</v>
      </c>
      <c r="W81" s="18" t="s">
        <v>349</v>
      </c>
      <c r="X81" s="20" t="s">
        <v>349</v>
      </c>
      <c r="Y81" s="18" t="s">
        <v>349</v>
      </c>
      <c r="Z81" s="20" t="s">
        <v>349</v>
      </c>
    </row>
    <row r="82" spans="1:26">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c r="Y82" s="22" t="s">
        <v>424</v>
      </c>
      <c r="Z82" s="22" t="s">
        <v>424</v>
      </c>
    </row>
    <row r="83" spans="1:26">
      <c r="A83" s="3" t="s">
        <v>425</v>
      </c>
    </row>
    <row r="84" spans="1:26">
      <c r="A84" s="23" t="s">
        <v>426</v>
      </c>
    </row>
    <row r="85" spans="1:26">
      <c r="A85" s="23" t="s">
        <v>427</v>
      </c>
    </row>
    <row customHeight="1" ht="30" r="86" spans="1:26">
      <c r="A86" s="23" t="s">
        <v>428</v>
      </c>
    </row>
    <row customHeight="1" ht="30" r="87" spans="1:26">
      <c r="A87" s="23" t="s">
        <v>424</v>
      </c>
    </row>
    <row customHeight="1" ht="30" r="88" spans="1:26">
      <c r="A88" s="23" t="s">
        <v>429</v>
      </c>
    </row>
    <row customHeight="1" ht="30" r="89" spans="1:26">
      <c r="A89" s="23" t="s">
        <v>430</v>
      </c>
    </row>
    <row customHeight="1" ht="30" r="90" spans="1:26">
      <c r="A90" s="23" t="s">
        <v>431</v>
      </c>
    </row>
    <row customHeight="1" ht="30" r="91" spans="1:26">
      <c r="A91" s="23" t="s">
        <v>432</v>
      </c>
    </row>
    <row customHeight="1" ht="30" r="92" spans="1:26">
      <c r="A92" s="23" t="s">
        <v>433</v>
      </c>
    </row>
    <row customHeight="1" ht="30" r="93" spans="1:26">
      <c r="A93" s="23" t="s">
        <v>434</v>
      </c>
    </row>
    <row customHeight="1" ht="30" r="94" spans="1:26">
      <c r="A94" s="23" t="s">
        <v>435</v>
      </c>
    </row>
    <row customHeight="1" ht="30" r="95" spans="1:26">
      <c r="A95" s="23" t="s">
        <v>436</v>
      </c>
    </row>
    <row customHeight="1" ht="30" r="96" spans="1:26">
      <c r="A96" s="23" t="s">
        <v>437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(2242.0/B44*100)</f>
        <v/>
      </c>
      <c r="D44" s="19" t="n">
        <v>449</v>
      </c>
      <c r="E44" s="18" t="n">
        <v>21.82547767</v>
      </c>
      <c r="F44" s="20" t="n">
        <v>1.93622771</v>
      </c>
      <c r="G44" s="18" t="n">
        <v>32.40612259</v>
      </c>
      <c r="H44" s="20" t="n">
        <v>2.34299999</v>
      </c>
      <c r="I44" s="18" t="s">
        <v>349</v>
      </c>
      <c r="J44" s="20" t="s">
        <v>349</v>
      </c>
      <c r="K44" s="18" t="n">
        <v>4.93191794</v>
      </c>
      <c r="L44" s="20" t="n">
        <v>1.15992823</v>
      </c>
      <c r="M44" s="18" t="n">
        <v>0</v>
      </c>
      <c r="N44" s="20" t="n">
        <v>0</v>
      </c>
      <c r="O44" s="18" t="n">
        <v>0</v>
      </c>
      <c r="P44" s="20" t="n">
        <v>0</v>
      </c>
      <c r="Q44" s="18" t="n">
        <v>40.8364818</v>
      </c>
      <c r="R44" s="20" t="n">
        <v>2.62512776</v>
      </c>
    </row>
    <row r="45" spans="1:18">
      <c r="A45" s="15" t="s">
        <v>387</v>
      </c>
      <c r="B45" s="17" t="n">
        <v>2670</v>
      </c>
      <c r="C45" s="18">
        <f>(2216.0/B45*100)</f>
        <v/>
      </c>
      <c r="D45" s="19" t="n">
        <v>454</v>
      </c>
      <c r="E45" s="18" t="n">
        <v>24.58471062</v>
      </c>
      <c r="F45" s="20" t="n">
        <v>2.11861873</v>
      </c>
      <c r="G45" s="18" t="n">
        <v>10.7090113</v>
      </c>
      <c r="H45" s="20" t="n">
        <v>1.47277071</v>
      </c>
      <c r="I45" s="18" t="s">
        <v>349</v>
      </c>
      <c r="J45" s="20" t="s">
        <v>349</v>
      </c>
      <c r="K45" s="18" t="n">
        <v>5.46991972</v>
      </c>
      <c r="L45" s="20" t="n">
        <v>1.19174388</v>
      </c>
      <c r="M45" s="18" t="n">
        <v>0.24103351</v>
      </c>
      <c r="N45" s="20" t="n">
        <v>0.24078853</v>
      </c>
      <c r="O45" s="18" t="n">
        <v>0</v>
      </c>
      <c r="P45" s="20" t="n">
        <v>0</v>
      </c>
      <c r="Q45" s="18" t="n">
        <v>58.99532486</v>
      </c>
      <c r="R45" s="20" t="n">
        <v>2.31339775</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(2795.0/B49*100)</f>
        <v/>
      </c>
      <c r="D49" s="19" t="n">
        <v>536</v>
      </c>
      <c r="E49" s="18" t="n">
        <v>23.26051338</v>
      </c>
      <c r="F49" s="20" t="n">
        <v>2.21595419</v>
      </c>
      <c r="G49" s="18" t="n">
        <v>39.67441343</v>
      </c>
      <c r="H49" s="20" t="n">
        <v>2.80208599</v>
      </c>
      <c r="I49" s="18" t="s">
        <v>349</v>
      </c>
      <c r="J49" s="20" t="s">
        <v>349</v>
      </c>
      <c r="K49" s="18" t="n">
        <v>4.96541805</v>
      </c>
      <c r="L49" s="20" t="n">
        <v>1.08762658</v>
      </c>
      <c r="M49" s="18" t="n">
        <v>0</v>
      </c>
      <c r="N49" s="20" t="n">
        <v>0</v>
      </c>
      <c r="O49" s="18" t="n">
        <v>0</v>
      </c>
      <c r="P49" s="20" t="n">
        <v>0</v>
      </c>
      <c r="Q49" s="18" t="n">
        <v>32.09965515</v>
      </c>
      <c r="R49" s="20" t="n">
        <v>2.4879626</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(2138.0/B55*100)</f>
        <v/>
      </c>
      <c r="D55" s="19" t="n">
        <v>419</v>
      </c>
      <c r="E55" s="18" t="n">
        <v>23.59443036</v>
      </c>
      <c r="F55" s="20" t="n">
        <v>2.28704231</v>
      </c>
      <c r="G55" s="18" t="n">
        <v>29.08206237</v>
      </c>
      <c r="H55" s="20" t="n">
        <v>2.01129327</v>
      </c>
      <c r="I55" s="18" t="s">
        <v>349</v>
      </c>
      <c r="J55" s="20" t="s">
        <v>349</v>
      </c>
      <c r="K55" s="18" t="n">
        <v>3.38817677</v>
      </c>
      <c r="L55" s="20" t="n">
        <v>1.01732098</v>
      </c>
      <c r="M55" s="18" t="n">
        <v>0</v>
      </c>
      <c r="N55" s="20" t="n">
        <v>0</v>
      </c>
      <c r="O55" s="18" t="n">
        <v>0.23144331</v>
      </c>
      <c r="P55" s="20" t="n">
        <v>0.20204703</v>
      </c>
      <c r="Q55" s="18" t="n">
        <v>43.70388719</v>
      </c>
      <c r="R55" s="20" t="n">
        <v>2.37342225</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(2767.0/B57*100)</f>
        <v/>
      </c>
      <c r="D57" s="19" t="n">
        <v>576</v>
      </c>
      <c r="E57" s="18" t="n">
        <v>38.92861743</v>
      </c>
      <c r="F57" s="20" t="n">
        <v>2.53738205</v>
      </c>
      <c r="G57" s="18" t="n">
        <v>31.33046734</v>
      </c>
      <c r="H57" s="20" t="n">
        <v>2.33432848</v>
      </c>
      <c r="I57" s="18" t="s">
        <v>349</v>
      </c>
      <c r="J57" s="20" t="s">
        <v>349</v>
      </c>
      <c r="K57" s="18" t="n">
        <v>1.61246599</v>
      </c>
      <c r="L57" s="20" t="n">
        <v>0.61377664</v>
      </c>
      <c r="M57" s="18" t="n">
        <v>0</v>
      </c>
      <c r="N57" s="20" t="n">
        <v>0</v>
      </c>
      <c r="O57" s="18" t="n">
        <v>0</v>
      </c>
      <c r="P57" s="20" t="n">
        <v>0</v>
      </c>
      <c r="Q57" s="18" t="n">
        <v>28.12844925</v>
      </c>
      <c r="R57" s="20" t="n">
        <v>1.915168</v>
      </c>
    </row>
    <row r="58" spans="1:18">
      <c r="A58" s="15" t="s">
        <v>400</v>
      </c>
      <c r="B58" s="17" t="n">
        <v>3737</v>
      </c>
      <c r="C58" s="18">
        <f>(3106.0/B58*100)</f>
        <v/>
      </c>
      <c r="D58" s="19" t="n">
        <v>631</v>
      </c>
      <c r="E58" s="18" t="n">
        <v>39.96565377</v>
      </c>
      <c r="F58" s="20" t="n">
        <v>2.65433729</v>
      </c>
      <c r="G58" s="18" t="n">
        <v>36.7381968</v>
      </c>
      <c r="H58" s="20" t="n">
        <v>2.83399551</v>
      </c>
      <c r="I58" s="18" t="s">
        <v>349</v>
      </c>
      <c r="J58" s="20" t="s">
        <v>349</v>
      </c>
      <c r="K58" s="18" t="n">
        <v>0.78016582</v>
      </c>
      <c r="L58" s="20" t="n">
        <v>0.3614152</v>
      </c>
      <c r="M58" s="18" t="n">
        <v>0</v>
      </c>
      <c r="N58" s="20" t="n">
        <v>0</v>
      </c>
      <c r="O58" s="18" t="n">
        <v>0</v>
      </c>
      <c r="P58" s="20" t="n">
        <v>0</v>
      </c>
      <c r="Q58" s="18" t="n">
        <v>22.5159836</v>
      </c>
      <c r="R58" s="20" t="n">
        <v>2.598246</v>
      </c>
    </row>
    <row r="59" spans="1:18">
      <c r="A59" s="15" t="s">
        <v>401</v>
      </c>
      <c r="B59" s="17" t="n">
        <v>2278</v>
      </c>
      <c r="C59" s="18">
        <f>(1910.0/B59*100)</f>
        <v/>
      </c>
      <c r="D59" s="19" t="n">
        <v>368</v>
      </c>
      <c r="E59" s="18" t="n">
        <v>30.47732693</v>
      </c>
      <c r="F59" s="20" t="n">
        <v>2.83481011</v>
      </c>
      <c r="G59" s="18" t="n">
        <v>22.83237727</v>
      </c>
      <c r="H59" s="20" t="n">
        <v>2.79846154</v>
      </c>
      <c r="I59" s="18" t="s">
        <v>349</v>
      </c>
      <c r="J59" s="20" t="s">
        <v>349</v>
      </c>
      <c r="K59" s="18" t="n">
        <v>1.12060907</v>
      </c>
      <c r="L59" s="20" t="n">
        <v>0.45562699</v>
      </c>
      <c r="M59" s="18" t="n">
        <v>0</v>
      </c>
      <c r="N59" s="20" t="n">
        <v>0</v>
      </c>
      <c r="O59" s="18" t="n">
        <v>0</v>
      </c>
      <c r="P59" s="20" t="n">
        <v>0</v>
      </c>
      <c r="Q59" s="18" t="n">
        <v>45.56968672</v>
      </c>
      <c r="R59" s="20" t="n">
        <v>3.36609715</v>
      </c>
    </row>
    <row r="60" spans="1:18">
      <c r="A60" s="15" t="s">
        <v>402</v>
      </c>
      <c r="B60" s="17" t="n">
        <v>2451</v>
      </c>
      <c r="C60" s="18">
        <f>(2037.0/B60*100)</f>
        <v/>
      </c>
      <c r="D60" s="19" t="n">
        <v>414</v>
      </c>
      <c r="E60" s="18" t="n">
        <v>26.50947128</v>
      </c>
      <c r="F60" s="20" t="n">
        <v>2.30729591</v>
      </c>
      <c r="G60" s="18" t="n">
        <v>29.44507024</v>
      </c>
      <c r="H60" s="20" t="n">
        <v>2.71254157</v>
      </c>
      <c r="I60" s="18" t="s">
        <v>349</v>
      </c>
      <c r="J60" s="20" t="s">
        <v>349</v>
      </c>
      <c r="K60" s="18" t="n">
        <v>4.75181082</v>
      </c>
      <c r="L60" s="20" t="n">
        <v>1.1799912</v>
      </c>
      <c r="M60" s="18" t="n">
        <v>0</v>
      </c>
      <c r="N60" s="20" t="n">
        <v>0</v>
      </c>
      <c r="O60" s="18" t="n">
        <v>0.41229736</v>
      </c>
      <c r="P60" s="20" t="n">
        <v>0.29497304</v>
      </c>
      <c r="Q60" s="18" t="n">
        <v>38.88135029</v>
      </c>
      <c r="R60" s="20" t="n">
        <v>2.79114788</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(2065.0/B63*100)</f>
        <v/>
      </c>
      <c r="D63" s="19" t="n">
        <v>446</v>
      </c>
      <c r="E63" s="18" t="n">
        <v>17.6585779</v>
      </c>
      <c r="F63" s="20" t="n">
        <v>2.0061862</v>
      </c>
      <c r="G63" s="18" t="n">
        <v>26.90231413</v>
      </c>
      <c r="H63" s="20" t="n">
        <v>2.3706081</v>
      </c>
      <c r="I63" s="18" t="s">
        <v>349</v>
      </c>
      <c r="J63" s="20" t="s">
        <v>349</v>
      </c>
      <c r="K63" s="18" t="n">
        <v>3.01190817</v>
      </c>
      <c r="L63" s="20" t="n">
        <v>0.83157429</v>
      </c>
      <c r="M63" s="18" t="n">
        <v>0</v>
      </c>
      <c r="N63" s="20" t="n">
        <v>0</v>
      </c>
      <c r="O63" s="18" t="n">
        <v>0</v>
      </c>
      <c r="P63" s="20" t="n">
        <v>0</v>
      </c>
      <c r="Q63" s="18" t="n">
        <v>52.4271998</v>
      </c>
      <c r="R63" s="20" t="n">
        <v>2.88308089</v>
      </c>
    </row>
    <row r="64" spans="1:18">
      <c r="A64" s="15" t="s">
        <v>406</v>
      </c>
      <c r="B64" s="17" t="n">
        <v>1790</v>
      </c>
      <c r="C64" s="18">
        <f>(1496.0/B64*100)</f>
        <v/>
      </c>
      <c r="D64" s="19" t="n">
        <v>294</v>
      </c>
      <c r="E64" s="18" t="n">
        <v>24.15589432</v>
      </c>
      <c r="F64" s="20" t="n">
        <v>2.51309109</v>
      </c>
      <c r="G64" s="18" t="n">
        <v>65.23990425</v>
      </c>
      <c r="H64" s="20" t="n">
        <v>2.70372521</v>
      </c>
      <c r="I64" s="18" t="s">
        <v>349</v>
      </c>
      <c r="J64" s="20" t="s">
        <v>349</v>
      </c>
      <c r="K64" s="18" t="n">
        <v>1.56256891</v>
      </c>
      <c r="L64" s="20" t="n">
        <v>0.78119154</v>
      </c>
      <c r="M64" s="18" t="n">
        <v>0</v>
      </c>
      <c r="N64" s="20" t="n">
        <v>0</v>
      </c>
      <c r="O64" s="18" t="n">
        <v>0</v>
      </c>
      <c r="P64" s="20" t="n">
        <v>0</v>
      </c>
      <c r="Q64" s="18" t="n">
        <v>9.04163252</v>
      </c>
      <c r="R64" s="20" t="n">
        <v>1.53078076</v>
      </c>
    </row>
    <row r="65" spans="1:18">
      <c r="A65" s="15" t="s">
        <v>407</v>
      </c>
      <c r="B65" s="17" t="n">
        <v>2634</v>
      </c>
      <c r="C65" s="18">
        <f>(2193.0/B65*100)</f>
        <v/>
      </c>
      <c r="D65" s="19" t="n">
        <v>441</v>
      </c>
      <c r="E65" s="18" t="n">
        <v>22.69880966</v>
      </c>
      <c r="F65" s="20" t="n">
        <v>1.84846257</v>
      </c>
      <c r="G65" s="18" t="n">
        <v>43.26312206</v>
      </c>
      <c r="H65" s="20" t="n">
        <v>2.68008606</v>
      </c>
      <c r="I65" s="18" t="s">
        <v>349</v>
      </c>
      <c r="J65" s="20" t="s">
        <v>349</v>
      </c>
      <c r="K65" s="18" t="n">
        <v>5.32363152</v>
      </c>
      <c r="L65" s="20" t="n">
        <v>1.14179432</v>
      </c>
      <c r="M65" s="18" t="n">
        <v>0</v>
      </c>
      <c r="N65" s="20" t="n">
        <v>0</v>
      </c>
      <c r="O65" s="18" t="n">
        <v>0</v>
      </c>
      <c r="P65" s="20" t="n">
        <v>0</v>
      </c>
      <c r="Q65" s="18" t="n">
        <v>28.71443676</v>
      </c>
      <c r="R65" s="20" t="n">
        <v>2.66115427</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(2054.0/B69*100)</f>
        <v/>
      </c>
      <c r="D69" s="19" t="n">
        <v>412</v>
      </c>
      <c r="E69" s="18" t="n">
        <v>29.55165169</v>
      </c>
      <c r="F69" s="20" t="n">
        <v>2.76838101</v>
      </c>
      <c r="G69" s="18" t="n">
        <v>70.24093132</v>
      </c>
      <c r="H69" s="20" t="n">
        <v>2.78303038</v>
      </c>
      <c r="I69" s="18" t="s">
        <v>349</v>
      </c>
      <c r="J69" s="20" t="s">
        <v>349</v>
      </c>
      <c r="K69" s="18" t="n">
        <v>0</v>
      </c>
      <c r="L69" s="20" t="n">
        <v>0</v>
      </c>
      <c r="M69" s="18" t="n">
        <v>0</v>
      </c>
      <c r="N69" s="20" t="n">
        <v>0</v>
      </c>
      <c r="O69" s="18" t="n">
        <v>0</v>
      </c>
      <c r="P69" s="20" t="n">
        <v>0</v>
      </c>
      <c r="Q69" s="18" t="n">
        <v>0.20741699</v>
      </c>
      <c r="R69" s="20" t="n">
        <v>0.20828477</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23.49944244</v>
      </c>
      <c r="F74" s="20" t="n">
        <v>2.33242459</v>
      </c>
      <c r="G74" s="18" t="n">
        <v>50.70434895</v>
      </c>
      <c r="H74" s="20" t="n">
        <v>2.97645669</v>
      </c>
      <c r="I74" s="18" t="s">
        <v>349</v>
      </c>
      <c r="J74" s="20" t="s">
        <v>349</v>
      </c>
      <c r="K74" s="18" t="n">
        <v>6.96765477</v>
      </c>
      <c r="L74" s="20" t="n">
        <v>1.45614179</v>
      </c>
      <c r="M74" s="18" t="n">
        <v>0</v>
      </c>
      <c r="N74" s="20" t="n">
        <v>0</v>
      </c>
      <c r="O74" s="18" t="n">
        <v>0</v>
      </c>
      <c r="P74" s="20" t="n">
        <v>0</v>
      </c>
      <c r="Q74" s="18" t="n">
        <v>18.82855385</v>
      </c>
      <c r="R74" s="20" t="n">
        <v>2.20693427</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(2539.0/B78*100)</f>
        <v/>
      </c>
      <c r="D78" s="19" t="n">
        <v>501</v>
      </c>
      <c r="E78" s="18" t="n">
        <v>39.7703827</v>
      </c>
      <c r="F78" s="20" t="n">
        <v>2.65032037</v>
      </c>
      <c r="G78" s="18" t="n">
        <v>47.67101164</v>
      </c>
      <c r="H78" s="20" t="n">
        <v>2.58040125</v>
      </c>
      <c r="I78" s="18" t="s">
        <v>349</v>
      </c>
      <c r="J78" s="20" t="s">
        <v>349</v>
      </c>
      <c r="K78" s="18" t="n">
        <v>0</v>
      </c>
      <c r="L78" s="20" t="n">
        <v>0</v>
      </c>
      <c r="M78" s="18" t="n">
        <v>0</v>
      </c>
      <c r="N78" s="20" t="n">
        <v>0</v>
      </c>
      <c r="O78" s="18" t="n">
        <v>0</v>
      </c>
      <c r="P78" s="20" t="n">
        <v>0</v>
      </c>
      <c r="Q78" s="18" t="n">
        <v>12.55860566</v>
      </c>
      <c r="R78" s="20" t="n">
        <v>1.36275439</v>
      </c>
    </row>
    <row customHeight="1" ht="25" r="79" spans="1:18">
      <c r="A79" s="15" t="s">
        <v>421</v>
      </c>
      <c r="B79" s="17" t="n">
        <v>870</v>
      </c>
      <c r="C79" s="18">
        <f>(722.0/B79*100)</f>
        <v/>
      </c>
      <c r="D79" s="19" t="n">
        <v>148</v>
      </c>
      <c r="E79" s="18" t="n">
        <v>31.54547282</v>
      </c>
      <c r="F79" s="20" t="n">
        <v>4.37163243</v>
      </c>
      <c r="G79" s="18" t="n">
        <v>49.21537689</v>
      </c>
      <c r="H79" s="20" t="n">
        <v>4.4956388</v>
      </c>
      <c r="I79" s="18" t="s">
        <v>349</v>
      </c>
      <c r="J79" s="20" t="s">
        <v>349</v>
      </c>
      <c r="K79" s="18" t="n">
        <v>4.95751728</v>
      </c>
      <c r="L79" s="20" t="n">
        <v>1.87816565</v>
      </c>
      <c r="M79" s="18" t="n">
        <v>0</v>
      </c>
      <c r="N79" s="20" t="n">
        <v>0</v>
      </c>
      <c r="O79" s="18" t="n">
        <v>0</v>
      </c>
      <c r="P79" s="20" t="n">
        <v>0</v>
      </c>
      <c r="Q79" s="18" t="n">
        <v>14.28163301</v>
      </c>
      <c r="R79" s="20" t="n">
        <v>3.19085209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331</v>
      </c>
    </row>
    <row r="2" spans="1:30">
      <c r="A2" s="5" t="s">
        <v>538</v>
      </c>
    </row>
    <row customHeight="1" ht="30" r="4" spans="1:30">
      <c r="A4" s="6" t="n"/>
      <c r="B4" s="7" t="s">
        <v>333</v>
      </c>
      <c r="C4" s="7" t="s">
        <v>334</v>
      </c>
      <c r="D4" s="8" t="s">
        <v>333</v>
      </c>
      <c r="E4" s="9" t="s">
        <v>440</v>
      </c>
      <c r="F4" s="10" t="n"/>
      <c r="G4" s="9" t="s">
        <v>536</v>
      </c>
      <c r="H4" s="10" t="n"/>
      <c r="I4" s="9" t="s">
        <v>441</v>
      </c>
      <c r="J4" s="10" t="n"/>
      <c r="K4" s="9" t="s">
        <v>442</v>
      </c>
      <c r="L4" s="10" t="n"/>
      <c r="M4" s="9" t="s">
        <v>443</v>
      </c>
      <c r="N4" s="10" t="n"/>
      <c r="O4" s="9" t="s">
        <v>444</v>
      </c>
      <c r="P4" s="10" t="n"/>
      <c r="Q4" s="9" t="s">
        <v>447</v>
      </c>
      <c r="R4" s="10" t="n"/>
      <c r="S4" s="9" t="s">
        <v>448</v>
      </c>
      <c r="T4" s="10" t="n"/>
      <c r="U4" s="9" t="s">
        <v>337</v>
      </c>
      <c r="V4" s="10" t="n"/>
      <c r="W4" s="9" t="s">
        <v>338</v>
      </c>
      <c r="X4" s="10" t="n"/>
      <c r="Y4" s="9" t="s">
        <v>339</v>
      </c>
      <c r="Z4" s="10" t="n"/>
      <c r="AA4" s="9" t="s">
        <v>340</v>
      </c>
      <c r="AB4" s="10" t="n"/>
      <c r="AC4" s="9" t="s">
        <v>341</v>
      </c>
      <c r="AD4" s="10" t="n"/>
    </row>
    <row r="5" spans="1:3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c r="Y5" s="12" t="s">
        <v>345</v>
      </c>
      <c r="Z5" s="11" t="s">
        <v>346</v>
      </c>
      <c r="AA5" s="12" t="s">
        <v>345</v>
      </c>
      <c r="AB5" s="11" t="s">
        <v>346</v>
      </c>
      <c r="AC5" s="12" t="s">
        <v>345</v>
      </c>
      <c r="AD5" s="11" t="s">
        <v>346</v>
      </c>
    </row>
    <row r="6" spans="1:30">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c r="U7" s="18" t="s">
        <v>349</v>
      </c>
      <c r="V7" s="20" t="s">
        <v>349</v>
      </c>
      <c r="W7" s="18" t="s">
        <v>349</v>
      </c>
      <c r="X7" s="20" t="s">
        <v>349</v>
      </c>
      <c r="Y7" s="18" t="s">
        <v>349</v>
      </c>
      <c r="Z7" s="20" t="s">
        <v>349</v>
      </c>
      <c r="AA7" s="18" t="s">
        <v>349</v>
      </c>
      <c r="AB7" s="20" t="s">
        <v>349</v>
      </c>
      <c r="AC7" s="18" t="s">
        <v>349</v>
      </c>
      <c r="AD7" s="20" t="s">
        <v>349</v>
      </c>
    </row>
    <row r="8" spans="1:30">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c r="U8" s="18" t="s">
        <v>349</v>
      </c>
      <c r="V8" s="20" t="s">
        <v>349</v>
      </c>
      <c r="W8" s="18" t="s">
        <v>349</v>
      </c>
      <c r="X8" s="20" t="s">
        <v>349</v>
      </c>
      <c r="Y8" s="18" t="s">
        <v>349</v>
      </c>
      <c r="Z8" s="20" t="s">
        <v>349</v>
      </c>
      <c r="AA8" s="18" t="s">
        <v>349</v>
      </c>
      <c r="AB8" s="20" t="s">
        <v>349</v>
      </c>
      <c r="AC8" s="18" t="s">
        <v>349</v>
      </c>
      <c r="AD8" s="20" t="s">
        <v>349</v>
      </c>
    </row>
    <row r="9" spans="1:30">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c r="U9" s="18" t="s">
        <v>349</v>
      </c>
      <c r="V9" s="20" t="s">
        <v>349</v>
      </c>
      <c r="W9" s="18" t="s">
        <v>349</v>
      </c>
      <c r="X9" s="20" t="s">
        <v>349</v>
      </c>
      <c r="Y9" s="18" t="s">
        <v>349</v>
      </c>
      <c r="Z9" s="20" t="s">
        <v>349</v>
      </c>
      <c r="AA9" s="18" t="s">
        <v>349</v>
      </c>
      <c r="AB9" s="20" t="s">
        <v>349</v>
      </c>
      <c r="AC9" s="18" t="s">
        <v>349</v>
      </c>
      <c r="AD9" s="20" t="s">
        <v>349</v>
      </c>
    </row>
    <row r="10" spans="1:30">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c r="U10" s="18" t="s">
        <v>349</v>
      </c>
      <c r="V10" s="20" t="s">
        <v>349</v>
      </c>
      <c r="W10" s="18" t="s">
        <v>349</v>
      </c>
      <c r="X10" s="20" t="s">
        <v>349</v>
      </c>
      <c r="Y10" s="18" t="s">
        <v>349</v>
      </c>
      <c r="Z10" s="20" t="s">
        <v>349</v>
      </c>
      <c r="AA10" s="18" t="s">
        <v>349</v>
      </c>
      <c r="AB10" s="20" t="s">
        <v>349</v>
      </c>
      <c r="AC10" s="18" t="s">
        <v>349</v>
      </c>
      <c r="AD10" s="20" t="s">
        <v>349</v>
      </c>
    </row>
    <row r="11" spans="1:30">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c r="W11" s="18" t="s">
        <v>349</v>
      </c>
      <c r="X11" s="20" t="s">
        <v>349</v>
      </c>
      <c r="Y11" s="18" t="s">
        <v>349</v>
      </c>
      <c r="Z11" s="20" t="s">
        <v>349</v>
      </c>
      <c r="AA11" s="18" t="s">
        <v>349</v>
      </c>
      <c r="AB11" s="20" t="s">
        <v>349</v>
      </c>
      <c r="AC11" s="18" t="s">
        <v>349</v>
      </c>
      <c r="AD11" s="20" t="s">
        <v>349</v>
      </c>
    </row>
    <row r="12" spans="1:30">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c r="U12" s="18" t="s">
        <v>349</v>
      </c>
      <c r="V12" s="20" t="s">
        <v>349</v>
      </c>
      <c r="W12" s="18" t="s">
        <v>349</v>
      </c>
      <c r="X12" s="20" t="s">
        <v>349</v>
      </c>
      <c r="Y12" s="18" t="s">
        <v>349</v>
      </c>
      <c r="Z12" s="20" t="s">
        <v>349</v>
      </c>
      <c r="AA12" s="18" t="s">
        <v>349</v>
      </c>
      <c r="AB12" s="20" t="s">
        <v>349</v>
      </c>
      <c r="AC12" s="18" t="s">
        <v>349</v>
      </c>
      <c r="AD12" s="20" t="s">
        <v>349</v>
      </c>
    </row>
    <row r="13" spans="1:30">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c r="U13" s="18" t="s">
        <v>349</v>
      </c>
      <c r="V13" s="20" t="s">
        <v>349</v>
      </c>
      <c r="W13" s="18" t="s">
        <v>349</v>
      </c>
      <c r="X13" s="20" t="s">
        <v>349</v>
      </c>
      <c r="Y13" s="18" t="s">
        <v>349</v>
      </c>
      <c r="Z13" s="20" t="s">
        <v>349</v>
      </c>
      <c r="AA13" s="18" t="s">
        <v>349</v>
      </c>
      <c r="AB13" s="20" t="s">
        <v>349</v>
      </c>
      <c r="AC13" s="18" t="s">
        <v>349</v>
      </c>
      <c r="AD13" s="20" t="s">
        <v>349</v>
      </c>
    </row>
    <row r="14" spans="1:30">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c r="U14" s="18" t="s">
        <v>349</v>
      </c>
      <c r="V14" s="20" t="s">
        <v>349</v>
      </c>
      <c r="W14" s="18" t="s">
        <v>349</v>
      </c>
      <c r="X14" s="20" t="s">
        <v>349</v>
      </c>
      <c r="Y14" s="18" t="s">
        <v>349</v>
      </c>
      <c r="Z14" s="20" t="s">
        <v>349</v>
      </c>
      <c r="AA14" s="18" t="s">
        <v>349</v>
      </c>
      <c r="AB14" s="20" t="s">
        <v>349</v>
      </c>
      <c r="AC14" s="18" t="s">
        <v>349</v>
      </c>
      <c r="AD14" s="20" t="s">
        <v>349</v>
      </c>
    </row>
    <row r="15" spans="1:30">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c r="U15" s="18" t="s">
        <v>349</v>
      </c>
      <c r="V15" s="20" t="s">
        <v>349</v>
      </c>
      <c r="W15" s="18" t="s">
        <v>349</v>
      </c>
      <c r="X15" s="20" t="s">
        <v>349</v>
      </c>
      <c r="Y15" s="18" t="s">
        <v>349</v>
      </c>
      <c r="Z15" s="20" t="s">
        <v>349</v>
      </c>
      <c r="AA15" s="18" t="s">
        <v>349</v>
      </c>
      <c r="AB15" s="20" t="s">
        <v>349</v>
      </c>
      <c r="AC15" s="18" t="s">
        <v>349</v>
      </c>
      <c r="AD15" s="20" t="s">
        <v>349</v>
      </c>
    </row>
    <row r="16" spans="1:30">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c r="U16" s="18" t="s">
        <v>349</v>
      </c>
      <c r="V16" s="20" t="s">
        <v>349</v>
      </c>
      <c r="W16" s="18" t="s">
        <v>349</v>
      </c>
      <c r="X16" s="20" t="s">
        <v>349</v>
      </c>
      <c r="Y16" s="18" t="s">
        <v>349</v>
      </c>
      <c r="Z16" s="20" t="s">
        <v>349</v>
      </c>
      <c r="AA16" s="18" t="s">
        <v>349</v>
      </c>
      <c r="AB16" s="20" t="s">
        <v>349</v>
      </c>
      <c r="AC16" s="18" t="s">
        <v>349</v>
      </c>
      <c r="AD16" s="20" t="s">
        <v>349</v>
      </c>
    </row>
    <row r="17" spans="1:30">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c r="U17" s="18" t="s">
        <v>349</v>
      </c>
      <c r="V17" s="20" t="s">
        <v>349</v>
      </c>
      <c r="W17" s="18" t="s">
        <v>349</v>
      </c>
      <c r="X17" s="20" t="s">
        <v>349</v>
      </c>
      <c r="Y17" s="18" t="s">
        <v>349</v>
      </c>
      <c r="Z17" s="20" t="s">
        <v>349</v>
      </c>
      <c r="AA17" s="18" t="s">
        <v>349</v>
      </c>
      <c r="AB17" s="20" t="s">
        <v>349</v>
      </c>
      <c r="AC17" s="18" t="s">
        <v>349</v>
      </c>
      <c r="AD17" s="20" t="s">
        <v>349</v>
      </c>
    </row>
    <row r="18" spans="1:30">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c r="U18" s="18" t="s">
        <v>349</v>
      </c>
      <c r="V18" s="20" t="s">
        <v>349</v>
      </c>
      <c r="W18" s="18" t="s">
        <v>349</v>
      </c>
      <c r="X18" s="20" t="s">
        <v>349</v>
      </c>
      <c r="Y18" s="18" t="s">
        <v>349</v>
      </c>
      <c r="Z18" s="20" t="s">
        <v>349</v>
      </c>
      <c r="AA18" s="18" t="s">
        <v>349</v>
      </c>
      <c r="AB18" s="20" t="s">
        <v>349</v>
      </c>
      <c r="AC18" s="18" t="s">
        <v>349</v>
      </c>
      <c r="AD18" s="20" t="s">
        <v>349</v>
      </c>
    </row>
    <row r="19" spans="1:30">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c r="U19" s="18" t="s">
        <v>349</v>
      </c>
      <c r="V19" s="20" t="s">
        <v>349</v>
      </c>
      <c r="W19" s="18" t="s">
        <v>349</v>
      </c>
      <c r="X19" s="20" t="s">
        <v>349</v>
      </c>
      <c r="Y19" s="18" t="s">
        <v>349</v>
      </c>
      <c r="Z19" s="20" t="s">
        <v>349</v>
      </c>
      <c r="AA19" s="18" t="s">
        <v>349</v>
      </c>
      <c r="AB19" s="20" t="s">
        <v>349</v>
      </c>
      <c r="AC19" s="18" t="s">
        <v>349</v>
      </c>
      <c r="AD19" s="20" t="s">
        <v>349</v>
      </c>
    </row>
    <row r="20" spans="1:30">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c r="U20" s="18" t="s">
        <v>349</v>
      </c>
      <c r="V20" s="20" t="s">
        <v>349</v>
      </c>
      <c r="W20" s="18" t="s">
        <v>349</v>
      </c>
      <c r="X20" s="20" t="s">
        <v>349</v>
      </c>
      <c r="Y20" s="18" t="s">
        <v>349</v>
      </c>
      <c r="Z20" s="20" t="s">
        <v>349</v>
      </c>
      <c r="AA20" s="18" t="s">
        <v>349</v>
      </c>
      <c r="AB20" s="20" t="s">
        <v>349</v>
      </c>
      <c r="AC20" s="18" t="s">
        <v>349</v>
      </c>
      <c r="AD20" s="20" t="s">
        <v>349</v>
      </c>
    </row>
    <row r="21" spans="1:30">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c r="U21" s="18" t="s">
        <v>349</v>
      </c>
      <c r="V21" s="20" t="s">
        <v>349</v>
      </c>
      <c r="W21" s="18" t="s">
        <v>349</v>
      </c>
      <c r="X21" s="20" t="s">
        <v>349</v>
      </c>
      <c r="Y21" s="18" t="s">
        <v>349</v>
      </c>
      <c r="Z21" s="20" t="s">
        <v>349</v>
      </c>
      <c r="AA21" s="18" t="s">
        <v>349</v>
      </c>
      <c r="AB21" s="20" t="s">
        <v>349</v>
      </c>
      <c r="AC21" s="18" t="s">
        <v>349</v>
      </c>
      <c r="AD21" s="20" t="s">
        <v>349</v>
      </c>
    </row>
    <row r="22" spans="1:30">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c r="U22" s="18" t="s">
        <v>349</v>
      </c>
      <c r="V22" s="20" t="s">
        <v>349</v>
      </c>
      <c r="W22" s="18" t="s">
        <v>349</v>
      </c>
      <c r="X22" s="20" t="s">
        <v>349</v>
      </c>
      <c r="Y22" s="18" t="s">
        <v>349</v>
      </c>
      <c r="Z22" s="20" t="s">
        <v>349</v>
      </c>
      <c r="AA22" s="18" t="s">
        <v>349</v>
      </c>
      <c r="AB22" s="20" t="s">
        <v>349</v>
      </c>
      <c r="AC22" s="18" t="s">
        <v>349</v>
      </c>
      <c r="AD22" s="20" t="s">
        <v>349</v>
      </c>
    </row>
    <row r="23" spans="1:30">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c r="U23" s="18" t="s">
        <v>349</v>
      </c>
      <c r="V23" s="20" t="s">
        <v>349</v>
      </c>
      <c r="W23" s="18" t="s">
        <v>349</v>
      </c>
      <c r="X23" s="20" t="s">
        <v>349</v>
      </c>
      <c r="Y23" s="18" t="s">
        <v>349</v>
      </c>
      <c r="Z23" s="20" t="s">
        <v>349</v>
      </c>
      <c r="AA23" s="18" t="s">
        <v>349</v>
      </c>
      <c r="AB23" s="20" t="s">
        <v>349</v>
      </c>
      <c r="AC23" s="18" t="s">
        <v>349</v>
      </c>
      <c r="AD23" s="20" t="s">
        <v>349</v>
      </c>
    </row>
    <row r="24" spans="1:30">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c r="U24" s="18" t="s">
        <v>349</v>
      </c>
      <c r="V24" s="20" t="s">
        <v>349</v>
      </c>
      <c r="W24" s="18" t="s">
        <v>349</v>
      </c>
      <c r="X24" s="20" t="s">
        <v>349</v>
      </c>
      <c r="Y24" s="18" t="s">
        <v>349</v>
      </c>
      <c r="Z24" s="20" t="s">
        <v>349</v>
      </c>
      <c r="AA24" s="18" t="s">
        <v>349</v>
      </c>
      <c r="AB24" s="20" t="s">
        <v>349</v>
      </c>
      <c r="AC24" s="18" t="s">
        <v>349</v>
      </c>
      <c r="AD24" s="20" t="s">
        <v>349</v>
      </c>
    </row>
    <row r="25" spans="1:30">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c r="U25" s="18" t="s">
        <v>349</v>
      </c>
      <c r="V25" s="20" t="s">
        <v>349</v>
      </c>
      <c r="W25" s="18" t="s">
        <v>349</v>
      </c>
      <c r="X25" s="20" t="s">
        <v>349</v>
      </c>
      <c r="Y25" s="18" t="s">
        <v>349</v>
      </c>
      <c r="Z25" s="20" t="s">
        <v>349</v>
      </c>
      <c r="AA25" s="18" t="s">
        <v>349</v>
      </c>
      <c r="AB25" s="20" t="s">
        <v>349</v>
      </c>
      <c r="AC25" s="18" t="s">
        <v>349</v>
      </c>
      <c r="AD25" s="20" t="s">
        <v>349</v>
      </c>
    </row>
    <row r="26" spans="1:30">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c r="U26" s="18" t="s">
        <v>349</v>
      </c>
      <c r="V26" s="20" t="s">
        <v>349</v>
      </c>
      <c r="W26" s="18" t="s">
        <v>349</v>
      </c>
      <c r="X26" s="20" t="s">
        <v>349</v>
      </c>
      <c r="Y26" s="18" t="s">
        <v>349</v>
      </c>
      <c r="Z26" s="20" t="s">
        <v>349</v>
      </c>
      <c r="AA26" s="18" t="s">
        <v>349</v>
      </c>
      <c r="AB26" s="20" t="s">
        <v>349</v>
      </c>
      <c r="AC26" s="18" t="s">
        <v>349</v>
      </c>
      <c r="AD26" s="20" t="s">
        <v>349</v>
      </c>
    </row>
    <row r="27" spans="1:30">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c r="U27" s="18" t="s">
        <v>349</v>
      </c>
      <c r="V27" s="20" t="s">
        <v>349</v>
      </c>
      <c r="W27" s="18" t="s">
        <v>349</v>
      </c>
      <c r="X27" s="20" t="s">
        <v>349</v>
      </c>
      <c r="Y27" s="18" t="s">
        <v>349</v>
      </c>
      <c r="Z27" s="20" t="s">
        <v>349</v>
      </c>
      <c r="AA27" s="18" t="s">
        <v>349</v>
      </c>
      <c r="AB27" s="20" t="s">
        <v>349</v>
      </c>
      <c r="AC27" s="18" t="s">
        <v>349</v>
      </c>
      <c r="AD27" s="20" t="s">
        <v>349</v>
      </c>
    </row>
    <row r="28" spans="1:30">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c r="W28" s="18" t="s">
        <v>349</v>
      </c>
      <c r="X28" s="20" t="s">
        <v>349</v>
      </c>
      <c r="Y28" s="18" t="s">
        <v>349</v>
      </c>
      <c r="Z28" s="20" t="s">
        <v>349</v>
      </c>
      <c r="AA28" s="18" t="s">
        <v>349</v>
      </c>
      <c r="AB28" s="20" t="s">
        <v>349</v>
      </c>
      <c r="AC28" s="18" t="s">
        <v>349</v>
      </c>
      <c r="AD28" s="20" t="s">
        <v>349</v>
      </c>
    </row>
    <row r="29" spans="1:30">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c r="U29" s="18" t="s">
        <v>349</v>
      </c>
      <c r="V29" s="20" t="s">
        <v>349</v>
      </c>
      <c r="W29" s="18" t="s">
        <v>349</v>
      </c>
      <c r="X29" s="20" t="s">
        <v>349</v>
      </c>
      <c r="Y29" s="18" t="s">
        <v>349</v>
      </c>
      <c r="Z29" s="20" t="s">
        <v>349</v>
      </c>
      <c r="AA29" s="18" t="s">
        <v>349</v>
      </c>
      <c r="AB29" s="20" t="s">
        <v>349</v>
      </c>
      <c r="AC29" s="18" t="s">
        <v>349</v>
      </c>
      <c r="AD29" s="20" t="s">
        <v>349</v>
      </c>
    </row>
    <row r="30" spans="1:30">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c r="U30" s="18" t="s">
        <v>349</v>
      </c>
      <c r="V30" s="20" t="s">
        <v>349</v>
      </c>
      <c r="W30" s="18" t="s">
        <v>349</v>
      </c>
      <c r="X30" s="20" t="s">
        <v>349</v>
      </c>
      <c r="Y30" s="18" t="s">
        <v>349</v>
      </c>
      <c r="Z30" s="20" t="s">
        <v>349</v>
      </c>
      <c r="AA30" s="18" t="s">
        <v>349</v>
      </c>
      <c r="AB30" s="20" t="s">
        <v>349</v>
      </c>
      <c r="AC30" s="18" t="s">
        <v>349</v>
      </c>
      <c r="AD30" s="20" t="s">
        <v>349</v>
      </c>
    </row>
    <row r="31" spans="1:30">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c r="U31" s="18" t="s">
        <v>349</v>
      </c>
      <c r="V31" s="20" t="s">
        <v>349</v>
      </c>
      <c r="W31" s="18" t="s">
        <v>349</v>
      </c>
      <c r="X31" s="20" t="s">
        <v>349</v>
      </c>
      <c r="Y31" s="18" t="s">
        <v>349</v>
      </c>
      <c r="Z31" s="20" t="s">
        <v>349</v>
      </c>
      <c r="AA31" s="18" t="s">
        <v>349</v>
      </c>
      <c r="AB31" s="20" t="s">
        <v>349</v>
      </c>
      <c r="AC31" s="18" t="s">
        <v>349</v>
      </c>
      <c r="AD31" s="20" t="s">
        <v>349</v>
      </c>
    </row>
    <row r="32" spans="1:30">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c r="U32" s="18" t="s">
        <v>349</v>
      </c>
      <c r="V32" s="20" t="s">
        <v>349</v>
      </c>
      <c r="W32" s="18" t="s">
        <v>349</v>
      </c>
      <c r="X32" s="20" t="s">
        <v>349</v>
      </c>
      <c r="Y32" s="18" t="s">
        <v>349</v>
      </c>
      <c r="Z32" s="20" t="s">
        <v>349</v>
      </c>
      <c r="AA32" s="18" t="s">
        <v>349</v>
      </c>
      <c r="AB32" s="20" t="s">
        <v>349</v>
      </c>
      <c r="AC32" s="18" t="s">
        <v>349</v>
      </c>
      <c r="AD32" s="20" t="s">
        <v>349</v>
      </c>
    </row>
    <row r="33" spans="1:30">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c r="U33" s="18" t="s">
        <v>349</v>
      </c>
      <c r="V33" s="20" t="s">
        <v>349</v>
      </c>
      <c r="W33" s="18" t="s">
        <v>349</v>
      </c>
      <c r="X33" s="20" t="s">
        <v>349</v>
      </c>
      <c r="Y33" s="18" t="s">
        <v>349</v>
      </c>
      <c r="Z33" s="20" t="s">
        <v>349</v>
      </c>
      <c r="AA33" s="18" t="s">
        <v>349</v>
      </c>
      <c r="AB33" s="20" t="s">
        <v>349</v>
      </c>
      <c r="AC33" s="18" t="s">
        <v>349</v>
      </c>
      <c r="AD33" s="20" t="s">
        <v>349</v>
      </c>
    </row>
    <row r="34" spans="1:30">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c r="U34" s="18" t="s">
        <v>349</v>
      </c>
      <c r="V34" s="20" t="s">
        <v>349</v>
      </c>
      <c r="W34" s="18" t="s">
        <v>349</v>
      </c>
      <c r="X34" s="20" t="s">
        <v>349</v>
      </c>
      <c r="Y34" s="18" t="s">
        <v>349</v>
      </c>
      <c r="Z34" s="20" t="s">
        <v>349</v>
      </c>
      <c r="AA34" s="18" t="s">
        <v>349</v>
      </c>
      <c r="AB34" s="20" t="s">
        <v>349</v>
      </c>
      <c r="AC34" s="18" t="s">
        <v>349</v>
      </c>
      <c r="AD34" s="20" t="s">
        <v>349</v>
      </c>
    </row>
    <row r="35" spans="1:30">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c r="U35" s="18" t="s">
        <v>349</v>
      </c>
      <c r="V35" s="20" t="s">
        <v>349</v>
      </c>
      <c r="W35" s="18" t="s">
        <v>349</v>
      </c>
      <c r="X35" s="20" t="s">
        <v>349</v>
      </c>
      <c r="Y35" s="18" t="s">
        <v>349</v>
      </c>
      <c r="Z35" s="20" t="s">
        <v>349</v>
      </c>
      <c r="AA35" s="18" t="s">
        <v>349</v>
      </c>
      <c r="AB35" s="20" t="s">
        <v>349</v>
      </c>
      <c r="AC35" s="18" t="s">
        <v>349</v>
      </c>
      <c r="AD35" s="20" t="s">
        <v>349</v>
      </c>
    </row>
    <row r="36" spans="1:30">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c r="U36" s="18" t="s">
        <v>349</v>
      </c>
      <c r="V36" s="20" t="s">
        <v>349</v>
      </c>
      <c r="W36" s="18" t="s">
        <v>349</v>
      </c>
      <c r="X36" s="20" t="s">
        <v>349</v>
      </c>
      <c r="Y36" s="18" t="s">
        <v>349</v>
      </c>
      <c r="Z36" s="20" t="s">
        <v>349</v>
      </c>
      <c r="AA36" s="18" t="s">
        <v>349</v>
      </c>
      <c r="AB36" s="20" t="s">
        <v>349</v>
      </c>
      <c r="AC36" s="18" t="s">
        <v>349</v>
      </c>
      <c r="AD36" s="20" t="s">
        <v>349</v>
      </c>
    </row>
    <row r="37" spans="1:30">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c r="U37" s="18" t="s">
        <v>349</v>
      </c>
      <c r="V37" s="20" t="s">
        <v>349</v>
      </c>
      <c r="W37" s="18" t="s">
        <v>349</v>
      </c>
      <c r="X37" s="20" t="s">
        <v>349</v>
      </c>
      <c r="Y37" s="18" t="s">
        <v>349</v>
      </c>
      <c r="Z37" s="20" t="s">
        <v>349</v>
      </c>
      <c r="AA37" s="18" t="s">
        <v>349</v>
      </c>
      <c r="AB37" s="20" t="s">
        <v>349</v>
      </c>
      <c r="AC37" s="18" t="s">
        <v>349</v>
      </c>
      <c r="AD37" s="20" t="s">
        <v>349</v>
      </c>
    </row>
    <row r="38" spans="1:30">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c r="U38" s="18" t="s">
        <v>349</v>
      </c>
      <c r="V38" s="20" t="s">
        <v>349</v>
      </c>
      <c r="W38" s="18" t="s">
        <v>349</v>
      </c>
      <c r="X38" s="20" t="s">
        <v>349</v>
      </c>
      <c r="Y38" s="18" t="s">
        <v>349</v>
      </c>
      <c r="Z38" s="20" t="s">
        <v>349</v>
      </c>
      <c r="AA38" s="18" t="s">
        <v>349</v>
      </c>
      <c r="AB38" s="20" t="s">
        <v>349</v>
      </c>
      <c r="AC38" s="18" t="s">
        <v>349</v>
      </c>
      <c r="AD38" s="20" t="s">
        <v>349</v>
      </c>
    </row>
    <row r="39" spans="1:30">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c r="U39" s="18" t="s">
        <v>349</v>
      </c>
      <c r="V39" s="20" t="s">
        <v>349</v>
      </c>
      <c r="W39" s="18" t="s">
        <v>349</v>
      </c>
      <c r="X39" s="20" t="s">
        <v>349</v>
      </c>
      <c r="Y39" s="18" t="s">
        <v>349</v>
      </c>
      <c r="Z39" s="20" t="s">
        <v>349</v>
      </c>
      <c r="AA39" s="18" t="s">
        <v>349</v>
      </c>
      <c r="AB39" s="20" t="s">
        <v>349</v>
      </c>
      <c r="AC39" s="18" t="s">
        <v>349</v>
      </c>
      <c r="AD39" s="20" t="s">
        <v>349</v>
      </c>
    </row>
    <row r="40" spans="1:30">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c r="U40" s="18" t="s">
        <v>349</v>
      </c>
      <c r="V40" s="20" t="s">
        <v>349</v>
      </c>
      <c r="W40" s="18" t="s">
        <v>349</v>
      </c>
      <c r="X40" s="20" t="s">
        <v>349</v>
      </c>
      <c r="Y40" s="18" t="s">
        <v>349</v>
      </c>
      <c r="Z40" s="20" t="s">
        <v>349</v>
      </c>
      <c r="AA40" s="18" t="s">
        <v>349</v>
      </c>
      <c r="AB40" s="20" t="s">
        <v>349</v>
      </c>
      <c r="AC40" s="18" t="s">
        <v>349</v>
      </c>
      <c r="AD40" s="20" t="s">
        <v>349</v>
      </c>
    </row>
    <row r="41" spans="1:30">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c r="U41" s="18" t="s">
        <v>349</v>
      </c>
      <c r="V41" s="20" t="s">
        <v>349</v>
      </c>
      <c r="W41" s="18" t="s">
        <v>349</v>
      </c>
      <c r="X41" s="20" t="s">
        <v>349</v>
      </c>
      <c r="Y41" s="18" t="s">
        <v>349</v>
      </c>
      <c r="Z41" s="20" t="s">
        <v>349</v>
      </c>
      <c r="AA41" s="18" t="s">
        <v>349</v>
      </c>
      <c r="AB41" s="20" t="s">
        <v>349</v>
      </c>
      <c r="AC41" s="18" t="s">
        <v>349</v>
      </c>
      <c r="AD41" s="20" t="s">
        <v>349</v>
      </c>
    </row>
    <row r="42" spans="1:3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386</v>
      </c>
      <c r="B44" s="17" t="n">
        <v>2691</v>
      </c>
      <c r="C44" s="18">
        <f>(2242.0/B44*100)</f>
        <v/>
      </c>
      <c r="D44" s="19" t="n">
        <v>449</v>
      </c>
      <c r="E44" s="18" t="n">
        <v>26.56922244</v>
      </c>
      <c r="F44" s="20" t="n">
        <v>2.56614176</v>
      </c>
      <c r="G44" s="18" t="n">
        <v>0</v>
      </c>
      <c r="H44" s="20" t="n">
        <v>0</v>
      </c>
      <c r="I44" s="18" t="n">
        <v>3.73992459</v>
      </c>
      <c r="J44" s="20" t="n">
        <v>0.9442723200000001</v>
      </c>
      <c r="K44" s="18" t="n">
        <v>0.69704168</v>
      </c>
      <c r="L44" s="20" t="n">
        <v>0.42259918</v>
      </c>
      <c r="M44" s="18" t="n">
        <v>0.84761602</v>
      </c>
      <c r="N44" s="20" t="n">
        <v>0.5080909300000001</v>
      </c>
      <c r="O44" s="18" t="n">
        <v>0.93787747</v>
      </c>
      <c r="P44" s="20" t="n">
        <v>0.51992784</v>
      </c>
      <c r="Q44" s="18" t="n">
        <v>1.24224749</v>
      </c>
      <c r="R44" s="20" t="n">
        <v>0.56622379</v>
      </c>
      <c r="S44" s="18" t="n">
        <v>0.79504874</v>
      </c>
      <c r="T44" s="20" t="n">
        <v>0.7832364000000001</v>
      </c>
      <c r="U44" s="18" t="s">
        <v>349</v>
      </c>
      <c r="V44" s="20" t="s">
        <v>349</v>
      </c>
      <c r="W44" s="18" t="n">
        <v>4.93191794</v>
      </c>
      <c r="X44" s="20" t="n">
        <v>1.15992823</v>
      </c>
      <c r="Y44" s="18" t="n">
        <v>0</v>
      </c>
      <c r="Z44" s="20" t="n">
        <v>0</v>
      </c>
      <c r="AA44" s="18" t="n">
        <v>0</v>
      </c>
      <c r="AB44" s="20" t="n">
        <v>0</v>
      </c>
      <c r="AC44" s="18" t="n">
        <v>60.23910364</v>
      </c>
      <c r="AD44" s="20" t="n">
        <v>2.71705586</v>
      </c>
    </row>
    <row r="45" spans="1:30">
      <c r="A45" s="15" t="s">
        <v>387</v>
      </c>
      <c r="B45" s="17" t="n">
        <v>2670</v>
      </c>
      <c r="C45" s="18">
        <f>(2216.0/B45*100)</f>
        <v/>
      </c>
      <c r="D45" s="19" t="n">
        <v>454</v>
      </c>
      <c r="E45" s="18" t="n">
        <v>38.27619098</v>
      </c>
      <c r="F45" s="20" t="n">
        <v>2.21577399</v>
      </c>
      <c r="G45" s="18" t="n">
        <v>0</v>
      </c>
      <c r="H45" s="20" t="n">
        <v>0</v>
      </c>
      <c r="I45" s="18" t="n">
        <v>0.929554</v>
      </c>
      <c r="J45" s="20" t="n">
        <v>0.473857</v>
      </c>
      <c r="K45" s="18" t="n">
        <v>0.76196352</v>
      </c>
      <c r="L45" s="20" t="n">
        <v>0.38039686</v>
      </c>
      <c r="M45" s="18" t="n">
        <v>0</v>
      </c>
      <c r="N45" s="20" t="n">
        <v>0</v>
      </c>
      <c r="O45" s="18" t="n">
        <v>1.40933724</v>
      </c>
      <c r="P45" s="20" t="n">
        <v>0.64384621</v>
      </c>
      <c r="Q45" s="18" t="n">
        <v>0.30556262</v>
      </c>
      <c r="R45" s="20" t="n">
        <v>0.28264527</v>
      </c>
      <c r="S45" s="18" t="n">
        <v>0.21946775</v>
      </c>
      <c r="T45" s="20" t="n">
        <v>0.22878738</v>
      </c>
      <c r="U45" s="18" t="s">
        <v>349</v>
      </c>
      <c r="V45" s="20" t="s">
        <v>349</v>
      </c>
      <c r="W45" s="18" t="n">
        <v>5.70783132</v>
      </c>
      <c r="X45" s="20" t="n">
        <v>1.21234469</v>
      </c>
      <c r="Y45" s="18" t="n">
        <v>0.13857516</v>
      </c>
      <c r="Z45" s="20" t="n">
        <v>0.14791982</v>
      </c>
      <c r="AA45" s="18" t="n">
        <v>0.11541232</v>
      </c>
      <c r="AB45" s="20" t="n">
        <v>0.11746059</v>
      </c>
      <c r="AC45" s="18" t="n">
        <v>52.13610509</v>
      </c>
      <c r="AD45" s="20" t="n">
        <v>2.36673061</v>
      </c>
    </row>
    <row r="46" spans="1:30">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c r="W46" s="18" t="s">
        <v>349</v>
      </c>
      <c r="X46" s="20" t="s">
        <v>349</v>
      </c>
      <c r="Y46" s="18" t="s">
        <v>349</v>
      </c>
      <c r="Z46" s="20" t="s">
        <v>349</v>
      </c>
      <c r="AA46" s="18" t="s">
        <v>349</v>
      </c>
      <c r="AB46" s="20" t="s">
        <v>349</v>
      </c>
      <c r="AC46" s="18" t="s">
        <v>349</v>
      </c>
      <c r="AD46" s="20" t="s">
        <v>349</v>
      </c>
    </row>
    <row r="47" spans="1:30">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c r="W47" s="18" t="s">
        <v>349</v>
      </c>
      <c r="X47" s="20" t="s">
        <v>349</v>
      </c>
      <c r="Y47" s="18" t="s">
        <v>349</v>
      </c>
      <c r="Z47" s="20" t="s">
        <v>349</v>
      </c>
      <c r="AA47" s="18" t="s">
        <v>349</v>
      </c>
      <c r="AB47" s="20" t="s">
        <v>349</v>
      </c>
      <c r="AC47" s="18" t="s">
        <v>349</v>
      </c>
      <c r="AD47" s="20" t="s">
        <v>349</v>
      </c>
    </row>
    <row r="48" spans="1:30">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c r="U48" s="18" t="s">
        <v>349</v>
      </c>
      <c r="V48" s="20" t="s">
        <v>349</v>
      </c>
      <c r="W48" s="18" t="s">
        <v>349</v>
      </c>
      <c r="X48" s="20" t="s">
        <v>349</v>
      </c>
      <c r="Y48" s="18" t="s">
        <v>349</v>
      </c>
      <c r="Z48" s="20" t="s">
        <v>349</v>
      </c>
      <c r="AA48" s="18" t="s">
        <v>349</v>
      </c>
      <c r="AB48" s="20" t="s">
        <v>349</v>
      </c>
      <c r="AC48" s="18" t="s">
        <v>349</v>
      </c>
      <c r="AD48" s="20" t="s">
        <v>349</v>
      </c>
    </row>
    <row r="49" spans="1:30">
      <c r="A49" s="15" t="s">
        <v>391</v>
      </c>
      <c r="B49" s="17" t="n">
        <v>3331</v>
      </c>
      <c r="C49" s="18">
        <f>(2795.0/B49*100)</f>
        <v/>
      </c>
      <c r="D49" s="19" t="n">
        <v>536</v>
      </c>
      <c r="E49" s="18" t="n">
        <v>33.72520256</v>
      </c>
      <c r="F49" s="20" t="n">
        <v>2.50215127</v>
      </c>
      <c r="G49" s="18" t="n">
        <v>0</v>
      </c>
      <c r="H49" s="20" t="n">
        <v>0</v>
      </c>
      <c r="I49" s="18" t="n">
        <v>1.52416229</v>
      </c>
      <c r="J49" s="20" t="n">
        <v>0.66292284</v>
      </c>
      <c r="K49" s="18" t="n">
        <v>1.81225995</v>
      </c>
      <c r="L49" s="20" t="n">
        <v>0.73366824</v>
      </c>
      <c r="M49" s="18" t="n">
        <v>0.2433165</v>
      </c>
      <c r="N49" s="20" t="n">
        <v>0.14311793</v>
      </c>
      <c r="O49" s="18" t="n">
        <v>0.58934392</v>
      </c>
      <c r="P49" s="20" t="n">
        <v>0.38207125</v>
      </c>
      <c r="Q49" s="18" t="n">
        <v>0.9017381799999999</v>
      </c>
      <c r="R49" s="20" t="n">
        <v>0.45521465</v>
      </c>
      <c r="S49" s="18" t="n">
        <v>0.44376513</v>
      </c>
      <c r="T49" s="20" t="n">
        <v>0.24913291</v>
      </c>
      <c r="U49" s="18" t="s">
        <v>349</v>
      </c>
      <c r="V49" s="20" t="s">
        <v>349</v>
      </c>
      <c r="W49" s="18" t="n">
        <v>5.02532161</v>
      </c>
      <c r="X49" s="20" t="n">
        <v>1.08799571</v>
      </c>
      <c r="Y49" s="18" t="n">
        <v>0</v>
      </c>
      <c r="Z49" s="20" t="n">
        <v>0</v>
      </c>
      <c r="AA49" s="18" t="n">
        <v>0</v>
      </c>
      <c r="AB49" s="20" t="n">
        <v>0</v>
      </c>
      <c r="AC49" s="18" t="n">
        <v>55.73488985</v>
      </c>
      <c r="AD49" s="20" t="n">
        <v>2.52947405</v>
      </c>
    </row>
    <row r="50" spans="1:30">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c r="W50" s="18" t="s">
        <v>349</v>
      </c>
      <c r="X50" s="20" t="s">
        <v>349</v>
      </c>
      <c r="Y50" s="18" t="s">
        <v>349</v>
      </c>
      <c r="Z50" s="20" t="s">
        <v>349</v>
      </c>
      <c r="AA50" s="18" t="s">
        <v>349</v>
      </c>
      <c r="AB50" s="20" t="s">
        <v>349</v>
      </c>
      <c r="AC50" s="18" t="s">
        <v>349</v>
      </c>
      <c r="AD50" s="20" t="s">
        <v>349</v>
      </c>
    </row>
    <row r="51" spans="1:30">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c r="W51" s="18" t="s">
        <v>349</v>
      </c>
      <c r="X51" s="20" t="s">
        <v>349</v>
      </c>
      <c r="Y51" s="18" t="s">
        <v>349</v>
      </c>
      <c r="Z51" s="20" t="s">
        <v>349</v>
      </c>
      <c r="AA51" s="18" t="s">
        <v>349</v>
      </c>
      <c r="AB51" s="20" t="s">
        <v>349</v>
      </c>
      <c r="AC51" s="18" t="s">
        <v>349</v>
      </c>
      <c r="AD51" s="20" t="s">
        <v>349</v>
      </c>
    </row>
    <row r="52" spans="1:30">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c r="U52" s="18" t="s">
        <v>349</v>
      </c>
      <c r="V52" s="20" t="s">
        <v>349</v>
      </c>
      <c r="W52" s="18" t="s">
        <v>349</v>
      </c>
      <c r="X52" s="20" t="s">
        <v>349</v>
      </c>
      <c r="Y52" s="18" t="s">
        <v>349</v>
      </c>
      <c r="Z52" s="20" t="s">
        <v>349</v>
      </c>
      <c r="AA52" s="18" t="s">
        <v>349</v>
      </c>
      <c r="AB52" s="20" t="s">
        <v>349</v>
      </c>
      <c r="AC52" s="18" t="s">
        <v>349</v>
      </c>
      <c r="AD52" s="20" t="s">
        <v>349</v>
      </c>
    </row>
    <row r="53" spans="1:30">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c r="W53" s="18" t="s">
        <v>349</v>
      </c>
      <c r="X53" s="20" t="s">
        <v>349</v>
      </c>
      <c r="Y53" s="18" t="s">
        <v>349</v>
      </c>
      <c r="Z53" s="20" t="s">
        <v>349</v>
      </c>
      <c r="AA53" s="18" t="s">
        <v>349</v>
      </c>
      <c r="AB53" s="20" t="s">
        <v>349</v>
      </c>
      <c r="AC53" s="18" t="s">
        <v>349</v>
      </c>
      <c r="AD53" s="20" t="s">
        <v>349</v>
      </c>
    </row>
    <row r="54" spans="1:30">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c r="W54" s="18" t="s">
        <v>349</v>
      </c>
      <c r="X54" s="20" t="s">
        <v>349</v>
      </c>
      <c r="Y54" s="18" t="s">
        <v>349</v>
      </c>
      <c r="Z54" s="20" t="s">
        <v>349</v>
      </c>
      <c r="AA54" s="18" t="s">
        <v>349</v>
      </c>
      <c r="AB54" s="20" t="s">
        <v>349</v>
      </c>
      <c r="AC54" s="18" t="s">
        <v>349</v>
      </c>
      <c r="AD54" s="20" t="s">
        <v>349</v>
      </c>
    </row>
    <row r="55" spans="1:30">
      <c r="A55" s="15" t="s">
        <v>397</v>
      </c>
      <c r="B55" s="17" t="n">
        <v>2557</v>
      </c>
      <c r="C55" s="18">
        <f>(2138.0/B55*100)</f>
        <v/>
      </c>
      <c r="D55" s="19" t="n">
        <v>419</v>
      </c>
      <c r="E55" s="18" t="n">
        <v>19.29246917</v>
      </c>
      <c r="F55" s="20" t="n">
        <v>2.09166913</v>
      </c>
      <c r="G55" s="18" t="n">
        <v>0</v>
      </c>
      <c r="H55" s="20" t="n">
        <v>0</v>
      </c>
      <c r="I55" s="18" t="n">
        <v>0.8668276700000001</v>
      </c>
      <c r="J55" s="20" t="n">
        <v>0.44062482</v>
      </c>
      <c r="K55" s="18" t="n">
        <v>3.75848731</v>
      </c>
      <c r="L55" s="20" t="n">
        <v>0.96176974</v>
      </c>
      <c r="M55" s="18" t="n">
        <v>4.16365156</v>
      </c>
      <c r="N55" s="20" t="n">
        <v>0.97256902</v>
      </c>
      <c r="O55" s="18" t="n">
        <v>1.05962246</v>
      </c>
      <c r="P55" s="20" t="n">
        <v>0.5645183</v>
      </c>
      <c r="Q55" s="18" t="n">
        <v>1.40731647</v>
      </c>
      <c r="R55" s="20" t="n">
        <v>0.47499224</v>
      </c>
      <c r="S55" s="18" t="n">
        <v>1.46398316</v>
      </c>
      <c r="T55" s="20" t="n">
        <v>0.65788948</v>
      </c>
      <c r="U55" s="18" t="s">
        <v>349</v>
      </c>
      <c r="V55" s="20" t="s">
        <v>349</v>
      </c>
      <c r="W55" s="18" t="n">
        <v>3.38817677</v>
      </c>
      <c r="X55" s="20" t="n">
        <v>1.01732098</v>
      </c>
      <c r="Y55" s="18" t="n">
        <v>0</v>
      </c>
      <c r="Z55" s="20" t="n">
        <v>0</v>
      </c>
      <c r="AA55" s="18" t="n">
        <v>0</v>
      </c>
      <c r="AB55" s="20" t="n">
        <v>0</v>
      </c>
      <c r="AC55" s="18" t="n">
        <v>64.59946543</v>
      </c>
      <c r="AD55" s="20" t="n">
        <v>2.4941831</v>
      </c>
    </row>
    <row r="56" spans="1:30">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c r="U56" s="18" t="s">
        <v>349</v>
      </c>
      <c r="V56" s="20" t="s">
        <v>349</v>
      </c>
      <c r="W56" s="18" t="s">
        <v>349</v>
      </c>
      <c r="X56" s="20" t="s">
        <v>349</v>
      </c>
      <c r="Y56" s="18" t="s">
        <v>349</v>
      </c>
      <c r="Z56" s="20" t="s">
        <v>349</v>
      </c>
      <c r="AA56" s="18" t="s">
        <v>349</v>
      </c>
      <c r="AB56" s="20" t="s">
        <v>349</v>
      </c>
      <c r="AC56" s="18" t="s">
        <v>349</v>
      </c>
      <c r="AD56" s="20" t="s">
        <v>349</v>
      </c>
    </row>
    <row r="57" spans="1:30">
      <c r="A57" s="15" t="s">
        <v>399</v>
      </c>
      <c r="B57" s="17" t="n">
        <v>3343</v>
      </c>
      <c r="C57" s="18">
        <f>(2767.0/B57*100)</f>
        <v/>
      </c>
      <c r="D57" s="19" t="n">
        <v>576</v>
      </c>
      <c r="E57" s="18" t="n">
        <v>69.34859148</v>
      </c>
      <c r="F57" s="20" t="n">
        <v>2.57468484</v>
      </c>
      <c r="G57" s="18" t="n">
        <v>0</v>
      </c>
      <c r="H57" s="20" t="n">
        <v>0</v>
      </c>
      <c r="I57" s="18" t="n">
        <v>0.16455582</v>
      </c>
      <c r="J57" s="20" t="n">
        <v>0.13083397</v>
      </c>
      <c r="K57" s="18" t="n">
        <v>0.19692792</v>
      </c>
      <c r="L57" s="20" t="n">
        <v>0.19568326</v>
      </c>
      <c r="M57" s="18" t="n">
        <v>0</v>
      </c>
      <c r="N57" s="20" t="n">
        <v>0</v>
      </c>
      <c r="O57" s="18" t="n">
        <v>1.15278801</v>
      </c>
      <c r="P57" s="20" t="n">
        <v>0.47621504</v>
      </c>
      <c r="Q57" s="18" t="n">
        <v>0.42058327</v>
      </c>
      <c r="R57" s="20" t="n">
        <v>0.06184988</v>
      </c>
      <c r="S57" s="18" t="n">
        <v>0</v>
      </c>
      <c r="T57" s="20" t="n">
        <v>0</v>
      </c>
      <c r="U57" s="18" t="s">
        <v>349</v>
      </c>
      <c r="V57" s="20" t="s">
        <v>349</v>
      </c>
      <c r="W57" s="18" t="n">
        <v>1.61246599</v>
      </c>
      <c r="X57" s="20" t="n">
        <v>0.61377664</v>
      </c>
      <c r="Y57" s="18" t="n">
        <v>0</v>
      </c>
      <c r="Z57" s="20" t="n">
        <v>0</v>
      </c>
      <c r="AA57" s="18" t="n">
        <v>0</v>
      </c>
      <c r="AB57" s="20" t="n">
        <v>0</v>
      </c>
      <c r="AC57" s="18" t="n">
        <v>27.10408752</v>
      </c>
      <c r="AD57" s="20" t="n">
        <v>2.39551288</v>
      </c>
    </row>
    <row r="58" spans="1:30">
      <c r="A58" s="15" t="s">
        <v>400</v>
      </c>
      <c r="B58" s="17" t="n">
        <v>3737</v>
      </c>
      <c r="C58" s="18">
        <f>(3106.0/B58*100)</f>
        <v/>
      </c>
      <c r="D58" s="19" t="n">
        <v>631</v>
      </c>
      <c r="E58" s="18" t="n">
        <v>58.20277906</v>
      </c>
      <c r="F58" s="20" t="n">
        <v>2.98568013</v>
      </c>
      <c r="G58" s="18" t="n">
        <v>0</v>
      </c>
      <c r="H58" s="20" t="n">
        <v>0</v>
      </c>
      <c r="I58" s="18" t="n">
        <v>0.48117167</v>
      </c>
      <c r="J58" s="20" t="n">
        <v>0.32019217</v>
      </c>
      <c r="K58" s="18" t="n">
        <v>0</v>
      </c>
      <c r="L58" s="20" t="n">
        <v>0</v>
      </c>
      <c r="M58" s="18" t="n">
        <v>0</v>
      </c>
      <c r="N58" s="20" t="n">
        <v>0</v>
      </c>
      <c r="O58" s="18" t="n">
        <v>1.14592004</v>
      </c>
      <c r="P58" s="20" t="n">
        <v>0.45275318</v>
      </c>
      <c r="Q58" s="18" t="n">
        <v>0.36058368</v>
      </c>
      <c r="R58" s="20" t="n">
        <v>0.26282691</v>
      </c>
      <c r="S58" s="18" t="n">
        <v>0</v>
      </c>
      <c r="T58" s="20" t="n">
        <v>0</v>
      </c>
      <c r="U58" s="18" t="s">
        <v>349</v>
      </c>
      <c r="V58" s="20" t="s">
        <v>349</v>
      </c>
      <c r="W58" s="18" t="n">
        <v>0.98935467</v>
      </c>
      <c r="X58" s="20" t="n">
        <v>0.38892493</v>
      </c>
      <c r="Y58" s="18" t="n">
        <v>0</v>
      </c>
      <c r="Z58" s="20" t="n">
        <v>0</v>
      </c>
      <c r="AA58" s="18" t="n">
        <v>0</v>
      </c>
      <c r="AB58" s="20" t="n">
        <v>0</v>
      </c>
      <c r="AC58" s="18" t="n">
        <v>38.82019088</v>
      </c>
      <c r="AD58" s="20" t="n">
        <v>3.00997551</v>
      </c>
    </row>
    <row r="59" spans="1:30">
      <c r="A59" s="15" t="s">
        <v>401</v>
      </c>
      <c r="B59" s="17" t="n">
        <v>2278</v>
      </c>
      <c r="C59" s="18">
        <f>(1910.0/B59*100)</f>
        <v/>
      </c>
      <c r="D59" s="19" t="n">
        <v>368</v>
      </c>
      <c r="E59" s="18" t="n">
        <v>49.95554297</v>
      </c>
      <c r="F59" s="20" t="n">
        <v>3.14976606</v>
      </c>
      <c r="G59" s="18" t="n">
        <v>0</v>
      </c>
      <c r="H59" s="20" t="n">
        <v>0</v>
      </c>
      <c r="I59" s="18" t="n">
        <v>0.10383115</v>
      </c>
      <c r="J59" s="20" t="n">
        <v>0.10406762</v>
      </c>
      <c r="K59" s="18" t="n">
        <v>0.6156450999999999</v>
      </c>
      <c r="L59" s="20" t="n">
        <v>0.52000365</v>
      </c>
      <c r="M59" s="18" t="n">
        <v>0</v>
      </c>
      <c r="N59" s="20" t="n">
        <v>0</v>
      </c>
      <c r="O59" s="18" t="n">
        <v>0</v>
      </c>
      <c r="P59" s="20" t="n">
        <v>0</v>
      </c>
      <c r="Q59" s="18" t="n">
        <v>0</v>
      </c>
      <c r="R59" s="20" t="n">
        <v>0</v>
      </c>
      <c r="S59" s="18" t="n">
        <v>0.56881234</v>
      </c>
      <c r="T59" s="20" t="n">
        <v>0.40407119</v>
      </c>
      <c r="U59" s="18" t="s">
        <v>349</v>
      </c>
      <c r="V59" s="20" t="s">
        <v>349</v>
      </c>
      <c r="W59" s="18" t="n">
        <v>1.12060907</v>
      </c>
      <c r="X59" s="20" t="n">
        <v>0.45562699</v>
      </c>
      <c r="Y59" s="18" t="n">
        <v>0</v>
      </c>
      <c r="Z59" s="20" t="n">
        <v>0</v>
      </c>
      <c r="AA59" s="18" t="n">
        <v>0</v>
      </c>
      <c r="AB59" s="20" t="n">
        <v>0</v>
      </c>
      <c r="AC59" s="18" t="n">
        <v>47.63555937</v>
      </c>
      <c r="AD59" s="20" t="n">
        <v>3.07360324</v>
      </c>
    </row>
    <row r="60" spans="1:30">
      <c r="A60" s="15" t="s">
        <v>402</v>
      </c>
      <c r="B60" s="17" t="n">
        <v>2451</v>
      </c>
      <c r="C60" s="18">
        <f>(2037.0/B60*100)</f>
        <v/>
      </c>
      <c r="D60" s="19" t="n">
        <v>414</v>
      </c>
      <c r="E60" s="18" t="n">
        <v>26.45712389</v>
      </c>
      <c r="F60" s="20" t="n">
        <v>2.65450034</v>
      </c>
      <c r="G60" s="18" t="n">
        <v>0</v>
      </c>
      <c r="H60" s="20" t="n">
        <v>0</v>
      </c>
      <c r="I60" s="18" t="n">
        <v>0.81715207</v>
      </c>
      <c r="J60" s="20" t="n">
        <v>0.48245115</v>
      </c>
      <c r="K60" s="18" t="n">
        <v>0.8990907</v>
      </c>
      <c r="L60" s="20" t="n">
        <v>0.49551508</v>
      </c>
      <c r="M60" s="18" t="n">
        <v>0.13150788</v>
      </c>
      <c r="N60" s="20" t="n">
        <v>0.13491098</v>
      </c>
      <c r="O60" s="18" t="n">
        <v>0.27945335</v>
      </c>
      <c r="P60" s="20" t="n">
        <v>0.2768581</v>
      </c>
      <c r="Q60" s="18" t="n">
        <v>2.26111862</v>
      </c>
      <c r="R60" s="20" t="n">
        <v>0.80729847</v>
      </c>
      <c r="S60" s="18" t="n">
        <v>0.34723768</v>
      </c>
      <c r="T60" s="20" t="n">
        <v>0.29373121</v>
      </c>
      <c r="U60" s="18" t="s">
        <v>349</v>
      </c>
      <c r="V60" s="20" t="s">
        <v>349</v>
      </c>
      <c r="W60" s="18" t="n">
        <v>5.90699361</v>
      </c>
      <c r="X60" s="20" t="n">
        <v>1.3894257</v>
      </c>
      <c r="Y60" s="18" t="n">
        <v>0</v>
      </c>
      <c r="Z60" s="20" t="n">
        <v>0</v>
      </c>
      <c r="AA60" s="18" t="n">
        <v>1.72870544</v>
      </c>
      <c r="AB60" s="20" t="n">
        <v>0.8668156</v>
      </c>
      <c r="AC60" s="18" t="n">
        <v>61.17161676</v>
      </c>
      <c r="AD60" s="20" t="n">
        <v>2.6580167</v>
      </c>
    </row>
    <row r="61" spans="1:30">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c r="U61" s="18" t="s">
        <v>349</v>
      </c>
      <c r="V61" s="20" t="s">
        <v>349</v>
      </c>
      <c r="W61" s="18" t="s">
        <v>349</v>
      </c>
      <c r="X61" s="20" t="s">
        <v>349</v>
      </c>
      <c r="Y61" s="18" t="s">
        <v>349</v>
      </c>
      <c r="Z61" s="20" t="s">
        <v>349</v>
      </c>
      <c r="AA61" s="18" t="s">
        <v>349</v>
      </c>
      <c r="AB61" s="20" t="s">
        <v>349</v>
      </c>
      <c r="AC61" s="18" t="s">
        <v>349</v>
      </c>
      <c r="AD61" s="20" t="s">
        <v>349</v>
      </c>
    </row>
    <row r="62" spans="1:30">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c r="U62" s="18" t="s">
        <v>349</v>
      </c>
      <c r="V62" s="20" t="s">
        <v>349</v>
      </c>
      <c r="W62" s="18" t="s">
        <v>349</v>
      </c>
      <c r="X62" s="20" t="s">
        <v>349</v>
      </c>
      <c r="Y62" s="18" t="s">
        <v>349</v>
      </c>
      <c r="Z62" s="20" t="s">
        <v>349</v>
      </c>
      <c r="AA62" s="18" t="s">
        <v>349</v>
      </c>
      <c r="AB62" s="20" t="s">
        <v>349</v>
      </c>
      <c r="AC62" s="18" t="s">
        <v>349</v>
      </c>
      <c r="AD62" s="20" t="s">
        <v>349</v>
      </c>
    </row>
    <row r="63" spans="1:30">
      <c r="A63" s="15" t="s">
        <v>405</v>
      </c>
      <c r="B63" s="17" t="n">
        <v>2511</v>
      </c>
      <c r="C63" s="18">
        <f>(2065.0/B63*100)</f>
        <v/>
      </c>
      <c r="D63" s="19" t="n">
        <v>446</v>
      </c>
      <c r="E63" s="18" t="n">
        <v>15.58080764</v>
      </c>
      <c r="F63" s="20" t="n">
        <v>1.90609339</v>
      </c>
      <c r="G63" s="18" t="n">
        <v>0</v>
      </c>
      <c r="H63" s="20" t="n">
        <v>0</v>
      </c>
      <c r="I63" s="18" t="n">
        <v>0.67223612</v>
      </c>
      <c r="J63" s="20" t="n">
        <v>0.50338806</v>
      </c>
      <c r="K63" s="18" t="n">
        <v>2.07762711</v>
      </c>
      <c r="L63" s="20" t="n">
        <v>0.73508445</v>
      </c>
      <c r="M63" s="18" t="n">
        <v>0</v>
      </c>
      <c r="N63" s="20" t="n">
        <v>0</v>
      </c>
      <c r="O63" s="18" t="n">
        <v>0.44602623</v>
      </c>
      <c r="P63" s="20" t="n">
        <v>0.44461114</v>
      </c>
      <c r="Q63" s="18" t="n">
        <v>0.09708379</v>
      </c>
      <c r="R63" s="20" t="n">
        <v>0.09859157</v>
      </c>
      <c r="S63" s="18" t="n">
        <v>0.83600535</v>
      </c>
      <c r="T63" s="20" t="n">
        <v>0.47784236</v>
      </c>
      <c r="U63" s="18" t="s">
        <v>349</v>
      </c>
      <c r="V63" s="20" t="s">
        <v>349</v>
      </c>
      <c r="W63" s="18" t="n">
        <v>3.01190817</v>
      </c>
      <c r="X63" s="20" t="n">
        <v>0.83157429</v>
      </c>
      <c r="Y63" s="18" t="n">
        <v>0</v>
      </c>
      <c r="Z63" s="20" t="n">
        <v>0</v>
      </c>
      <c r="AA63" s="18" t="n">
        <v>0</v>
      </c>
      <c r="AB63" s="20" t="n">
        <v>0</v>
      </c>
      <c r="AC63" s="18" t="n">
        <v>77.27830557999999</v>
      </c>
      <c r="AD63" s="20" t="n">
        <v>2.42237478</v>
      </c>
    </row>
    <row r="64" spans="1:30">
      <c r="A64" s="15" t="s">
        <v>406</v>
      </c>
      <c r="B64" s="17" t="n">
        <v>1790</v>
      </c>
      <c r="C64" s="18">
        <f>(1496.0/B64*100)</f>
        <v/>
      </c>
      <c r="D64" s="19" t="n">
        <v>294</v>
      </c>
      <c r="E64" s="18" t="n">
        <v>42.95529979</v>
      </c>
      <c r="F64" s="20" t="n">
        <v>2.94509762</v>
      </c>
      <c r="G64" s="18" t="n">
        <v>0</v>
      </c>
      <c r="H64" s="20" t="n">
        <v>0</v>
      </c>
      <c r="I64" s="18" t="n">
        <v>1.08239286</v>
      </c>
      <c r="J64" s="20" t="n">
        <v>0.65185666</v>
      </c>
      <c r="K64" s="18" t="n">
        <v>7.02104131</v>
      </c>
      <c r="L64" s="20" t="n">
        <v>1.25216568</v>
      </c>
      <c r="M64" s="18" t="n">
        <v>2.32734288</v>
      </c>
      <c r="N64" s="20" t="n">
        <v>0.87877109</v>
      </c>
      <c r="O64" s="18" t="n">
        <v>1.51515857</v>
      </c>
      <c r="P64" s="20" t="n">
        <v>0.50151469</v>
      </c>
      <c r="Q64" s="18" t="n">
        <v>11.35761369</v>
      </c>
      <c r="R64" s="20" t="n">
        <v>1.95862136</v>
      </c>
      <c r="S64" s="18" t="n">
        <v>0.9862709</v>
      </c>
      <c r="T64" s="20" t="n">
        <v>0.56874444</v>
      </c>
      <c r="U64" s="18" t="s">
        <v>349</v>
      </c>
      <c r="V64" s="20" t="s">
        <v>349</v>
      </c>
      <c r="W64" s="18" t="n">
        <v>1.56256891</v>
      </c>
      <c r="X64" s="20" t="n">
        <v>0.78119154</v>
      </c>
      <c r="Y64" s="18" t="n">
        <v>0</v>
      </c>
      <c r="Z64" s="20" t="n">
        <v>0</v>
      </c>
      <c r="AA64" s="18" t="n">
        <v>0</v>
      </c>
      <c r="AB64" s="20" t="n">
        <v>0</v>
      </c>
      <c r="AC64" s="18" t="n">
        <v>31.1923111</v>
      </c>
      <c r="AD64" s="20" t="n">
        <v>2.65454623</v>
      </c>
    </row>
    <row r="65" spans="1:30">
      <c r="A65" s="15" t="s">
        <v>407</v>
      </c>
      <c r="B65" s="17" t="n">
        <v>2634</v>
      </c>
      <c r="C65" s="18">
        <f>(2193.0/B65*100)</f>
        <v/>
      </c>
      <c r="D65" s="19" t="n">
        <v>441</v>
      </c>
      <c r="E65" s="18" t="n">
        <v>22.46496539</v>
      </c>
      <c r="F65" s="20" t="n">
        <v>2.15349368</v>
      </c>
      <c r="G65" s="18" t="n">
        <v>0</v>
      </c>
      <c r="H65" s="20" t="n">
        <v>0</v>
      </c>
      <c r="I65" s="18" t="n">
        <v>0.61961121</v>
      </c>
      <c r="J65" s="20" t="n">
        <v>0.3641229</v>
      </c>
      <c r="K65" s="18" t="n">
        <v>2.02506135</v>
      </c>
      <c r="L65" s="20" t="n">
        <v>0.84235722</v>
      </c>
      <c r="M65" s="18" t="n">
        <v>1.13470521</v>
      </c>
      <c r="N65" s="20" t="n">
        <v>0.60121415</v>
      </c>
      <c r="O65" s="18" t="n">
        <v>2.56190273</v>
      </c>
      <c r="P65" s="20" t="n">
        <v>0.9794001</v>
      </c>
      <c r="Q65" s="18" t="n">
        <v>0</v>
      </c>
      <c r="R65" s="20" t="n">
        <v>0</v>
      </c>
      <c r="S65" s="18" t="n">
        <v>2.0347531</v>
      </c>
      <c r="T65" s="20" t="n">
        <v>0.66817154</v>
      </c>
      <c r="U65" s="18" t="s">
        <v>349</v>
      </c>
      <c r="V65" s="20" t="s">
        <v>349</v>
      </c>
      <c r="W65" s="18" t="n">
        <v>5.32363152</v>
      </c>
      <c r="X65" s="20" t="n">
        <v>1.14179432</v>
      </c>
      <c r="Y65" s="18" t="n">
        <v>0</v>
      </c>
      <c r="Z65" s="20" t="n">
        <v>0</v>
      </c>
      <c r="AA65" s="18" t="n">
        <v>0</v>
      </c>
      <c r="AB65" s="20" t="n">
        <v>0</v>
      </c>
      <c r="AC65" s="18" t="n">
        <v>63.83536948</v>
      </c>
      <c r="AD65" s="20" t="n">
        <v>2.72000053</v>
      </c>
    </row>
    <row r="66" spans="1:30">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c r="U66" s="18" t="s">
        <v>349</v>
      </c>
      <c r="V66" s="20" t="s">
        <v>349</v>
      </c>
      <c r="W66" s="18" t="s">
        <v>349</v>
      </c>
      <c r="X66" s="20" t="s">
        <v>349</v>
      </c>
      <c r="Y66" s="18" t="s">
        <v>349</v>
      </c>
      <c r="Z66" s="20" t="s">
        <v>349</v>
      </c>
      <c r="AA66" s="18" t="s">
        <v>349</v>
      </c>
      <c r="AB66" s="20" t="s">
        <v>349</v>
      </c>
      <c r="AC66" s="18" t="s">
        <v>349</v>
      </c>
      <c r="AD66" s="20" t="s">
        <v>349</v>
      </c>
    </row>
    <row r="67" spans="1:30">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c r="W67" s="18" t="s">
        <v>349</v>
      </c>
      <c r="X67" s="20" t="s">
        <v>349</v>
      </c>
      <c r="Y67" s="18" t="s">
        <v>349</v>
      </c>
      <c r="Z67" s="20" t="s">
        <v>349</v>
      </c>
      <c r="AA67" s="18" t="s">
        <v>349</v>
      </c>
      <c r="AB67" s="20" t="s">
        <v>349</v>
      </c>
      <c r="AC67" s="18" t="s">
        <v>349</v>
      </c>
      <c r="AD67" s="20" t="s">
        <v>349</v>
      </c>
    </row>
    <row r="68" spans="1:30">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c r="U68" s="18" t="s">
        <v>349</v>
      </c>
      <c r="V68" s="20" t="s">
        <v>349</v>
      </c>
      <c r="W68" s="18" t="s">
        <v>349</v>
      </c>
      <c r="X68" s="20" t="s">
        <v>349</v>
      </c>
      <c r="Y68" s="18" t="s">
        <v>349</v>
      </c>
      <c r="Z68" s="20" t="s">
        <v>349</v>
      </c>
      <c r="AA68" s="18" t="s">
        <v>349</v>
      </c>
      <c r="AB68" s="20" t="s">
        <v>349</v>
      </c>
      <c r="AC68" s="18" t="s">
        <v>349</v>
      </c>
      <c r="AD68" s="20" t="s">
        <v>349</v>
      </c>
    </row>
    <row r="69" spans="1:30">
      <c r="A69" s="15" t="s">
        <v>411</v>
      </c>
      <c r="B69" s="17" t="n">
        <v>2466</v>
      </c>
      <c r="C69" s="18">
        <f>(2054.0/B69*100)</f>
        <v/>
      </c>
      <c r="D69" s="19" t="n">
        <v>412</v>
      </c>
      <c r="E69" s="18" t="n">
        <v>88.28178907</v>
      </c>
      <c r="F69" s="20" t="n">
        <v>1.80121932</v>
      </c>
      <c r="G69" s="18" t="n">
        <v>0</v>
      </c>
      <c r="H69" s="20" t="n">
        <v>0</v>
      </c>
      <c r="I69" s="18" t="n">
        <v>3.13025146</v>
      </c>
      <c r="J69" s="20" t="n">
        <v>0.9155342</v>
      </c>
      <c r="K69" s="18" t="n">
        <v>2.32759042</v>
      </c>
      <c r="L69" s="20" t="n">
        <v>0.79482679</v>
      </c>
      <c r="M69" s="18" t="n">
        <v>0.90246806</v>
      </c>
      <c r="N69" s="20" t="n">
        <v>0.45388662</v>
      </c>
      <c r="O69" s="18" t="n">
        <v>2.80440492</v>
      </c>
      <c r="P69" s="20" t="n">
        <v>0.87254607</v>
      </c>
      <c r="Q69" s="18" t="n">
        <v>0.6856540800000001</v>
      </c>
      <c r="R69" s="20" t="n">
        <v>0.38931865</v>
      </c>
      <c r="S69" s="18" t="n">
        <v>0.9205529</v>
      </c>
      <c r="T69" s="20" t="n">
        <v>0.326137</v>
      </c>
      <c r="U69" s="18" t="s">
        <v>349</v>
      </c>
      <c r="V69" s="20" t="s">
        <v>349</v>
      </c>
      <c r="W69" s="18" t="n">
        <v>0</v>
      </c>
      <c r="X69" s="20" t="n">
        <v>0</v>
      </c>
      <c r="Y69" s="18" t="n">
        <v>0</v>
      </c>
      <c r="Z69" s="20" t="n">
        <v>0</v>
      </c>
      <c r="AA69" s="18" t="n">
        <v>0</v>
      </c>
      <c r="AB69" s="20" t="n">
        <v>0</v>
      </c>
      <c r="AC69" s="18" t="n">
        <v>0.9472891</v>
      </c>
      <c r="AD69" s="20" t="n">
        <v>0.58777503</v>
      </c>
    </row>
    <row r="70" spans="1:30">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c r="U70" s="18" t="s">
        <v>349</v>
      </c>
      <c r="V70" s="20" t="s">
        <v>349</v>
      </c>
      <c r="W70" s="18" t="s">
        <v>349</v>
      </c>
      <c r="X70" s="20" t="s">
        <v>349</v>
      </c>
      <c r="Y70" s="18" t="s">
        <v>349</v>
      </c>
      <c r="Z70" s="20" t="s">
        <v>349</v>
      </c>
      <c r="AA70" s="18" t="s">
        <v>349</v>
      </c>
      <c r="AB70" s="20" t="s">
        <v>349</v>
      </c>
      <c r="AC70" s="18" t="s">
        <v>349</v>
      </c>
      <c r="AD70" s="20" t="s">
        <v>349</v>
      </c>
    </row>
    <row r="71" spans="1:30">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c r="U71" s="18" t="s">
        <v>349</v>
      </c>
      <c r="V71" s="20" t="s">
        <v>349</v>
      </c>
      <c r="W71" s="18" t="s">
        <v>349</v>
      </c>
      <c r="X71" s="20" t="s">
        <v>349</v>
      </c>
      <c r="Y71" s="18" t="s">
        <v>349</v>
      </c>
      <c r="Z71" s="20" t="s">
        <v>349</v>
      </c>
      <c r="AA71" s="18" t="s">
        <v>349</v>
      </c>
      <c r="AB71" s="20" t="s">
        <v>349</v>
      </c>
      <c r="AC71" s="18" t="s">
        <v>349</v>
      </c>
      <c r="AD71" s="20" t="s">
        <v>349</v>
      </c>
    </row>
    <row r="72" spans="1:30">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c r="U72" s="18" t="s">
        <v>349</v>
      </c>
      <c r="V72" s="20" t="s">
        <v>349</v>
      </c>
      <c r="W72" s="18" t="s">
        <v>349</v>
      </c>
      <c r="X72" s="20" t="s">
        <v>349</v>
      </c>
      <c r="Y72" s="18" t="s">
        <v>349</v>
      </c>
      <c r="Z72" s="20" t="s">
        <v>349</v>
      </c>
      <c r="AA72" s="18" t="s">
        <v>349</v>
      </c>
      <c r="AB72" s="20" t="s">
        <v>349</v>
      </c>
      <c r="AC72" s="18" t="s">
        <v>349</v>
      </c>
      <c r="AD72" s="20" t="s">
        <v>349</v>
      </c>
    </row>
    <row r="73" spans="1:30">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c r="U73" s="18" t="s">
        <v>349</v>
      </c>
      <c r="V73" s="20" t="s">
        <v>349</v>
      </c>
      <c r="W73" s="18" t="s">
        <v>349</v>
      </c>
      <c r="X73" s="20" t="s">
        <v>349</v>
      </c>
      <c r="Y73" s="18" t="s">
        <v>349</v>
      </c>
      <c r="Z73" s="20" t="s">
        <v>349</v>
      </c>
      <c r="AA73" s="18" t="s">
        <v>349</v>
      </c>
      <c r="AB73" s="20" t="s">
        <v>349</v>
      </c>
      <c r="AC73" s="18" t="s">
        <v>349</v>
      </c>
      <c r="AD73" s="20" t="s">
        <v>349</v>
      </c>
    </row>
    <row r="74" spans="1:30">
      <c r="A74" s="15" t="s">
        <v>416</v>
      </c>
      <c r="B74" s="17" t="n">
        <v>2453</v>
      </c>
      <c r="C74" s="18">
        <f>(2033.0/B74*100)</f>
        <v/>
      </c>
      <c r="D74" s="19" t="n">
        <v>420</v>
      </c>
      <c r="E74" s="18" t="n">
        <v>39.69076722</v>
      </c>
      <c r="F74" s="20" t="n">
        <v>2.22235694</v>
      </c>
      <c r="G74" s="18" t="n">
        <v>0</v>
      </c>
      <c r="H74" s="20" t="n">
        <v>0</v>
      </c>
      <c r="I74" s="18" t="n">
        <v>0.47622677</v>
      </c>
      <c r="J74" s="20" t="n">
        <v>0.34724025</v>
      </c>
      <c r="K74" s="18" t="n">
        <v>3.08927534</v>
      </c>
      <c r="L74" s="20" t="n">
        <v>0.78162898</v>
      </c>
      <c r="M74" s="18" t="n">
        <v>0.22061921</v>
      </c>
      <c r="N74" s="20" t="n">
        <v>0.2213434</v>
      </c>
      <c r="O74" s="18" t="n">
        <v>2.2546804</v>
      </c>
      <c r="P74" s="20" t="n">
        <v>0.72844608</v>
      </c>
      <c r="Q74" s="18" t="n">
        <v>2.66377221</v>
      </c>
      <c r="R74" s="20" t="n">
        <v>0.8223206199999999</v>
      </c>
      <c r="S74" s="18" t="n">
        <v>0</v>
      </c>
      <c r="T74" s="20" t="n">
        <v>0</v>
      </c>
      <c r="U74" s="18" t="s">
        <v>349</v>
      </c>
      <c r="V74" s="20" t="s">
        <v>349</v>
      </c>
      <c r="W74" s="18" t="n">
        <v>7.25959412</v>
      </c>
      <c r="X74" s="20" t="n">
        <v>1.50122408</v>
      </c>
      <c r="Y74" s="18" t="n">
        <v>0</v>
      </c>
      <c r="Z74" s="20" t="n">
        <v>0</v>
      </c>
      <c r="AA74" s="18" t="n">
        <v>0</v>
      </c>
      <c r="AB74" s="20" t="n">
        <v>0</v>
      </c>
      <c r="AC74" s="18" t="n">
        <v>44.34506473</v>
      </c>
      <c r="AD74" s="20" t="n">
        <v>2.57587185</v>
      </c>
    </row>
    <row r="75" spans="1:30">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c r="W75" s="18" t="s">
        <v>349</v>
      </c>
      <c r="X75" s="20" t="s">
        <v>349</v>
      </c>
      <c r="Y75" s="18" t="s">
        <v>349</v>
      </c>
      <c r="Z75" s="20" t="s">
        <v>349</v>
      </c>
      <c r="AA75" s="18" t="s">
        <v>349</v>
      </c>
      <c r="AB75" s="20" t="s">
        <v>349</v>
      </c>
      <c r="AC75" s="18" t="s">
        <v>349</v>
      </c>
      <c r="AD75" s="20" t="s">
        <v>349</v>
      </c>
    </row>
    <row r="76" spans="1:30">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c r="W76" s="18" t="s">
        <v>349</v>
      </c>
      <c r="X76" s="20" t="s">
        <v>349</v>
      </c>
      <c r="Y76" s="18" t="s">
        <v>349</v>
      </c>
      <c r="Z76" s="20" t="s">
        <v>349</v>
      </c>
      <c r="AA76" s="18" t="s">
        <v>349</v>
      </c>
      <c r="AB76" s="20" t="s">
        <v>349</v>
      </c>
      <c r="AC76" s="18" t="s">
        <v>349</v>
      </c>
      <c r="AD76" s="20" t="s">
        <v>349</v>
      </c>
    </row>
    <row r="77" spans="1:30">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c r="W77" s="18" t="s">
        <v>349</v>
      </c>
      <c r="X77" s="20" t="s">
        <v>349</v>
      </c>
      <c r="Y77" s="18" t="s">
        <v>349</v>
      </c>
      <c r="Z77" s="20" t="s">
        <v>349</v>
      </c>
      <c r="AA77" s="18" t="s">
        <v>349</v>
      </c>
      <c r="AB77" s="20" t="s">
        <v>349</v>
      </c>
      <c r="AC77" s="18" t="s">
        <v>349</v>
      </c>
      <c r="AD77" s="20" t="s">
        <v>349</v>
      </c>
    </row>
    <row r="78" spans="1:30">
      <c r="A78" s="15" t="s">
        <v>420</v>
      </c>
      <c r="B78" s="17" t="n">
        <v>3040</v>
      </c>
      <c r="C78" s="18">
        <f>(2539.0/B78*100)</f>
        <v/>
      </c>
      <c r="D78" s="19" t="n">
        <v>501</v>
      </c>
      <c r="E78" s="18" t="n">
        <v>80.94005601000001</v>
      </c>
      <c r="F78" s="20" t="n">
        <v>1.86563661</v>
      </c>
      <c r="G78" s="18" t="n">
        <v>0</v>
      </c>
      <c r="H78" s="20" t="n">
        <v>0</v>
      </c>
      <c r="I78" s="18" t="n">
        <v>1.41040921</v>
      </c>
      <c r="J78" s="20" t="n">
        <v>0.53012268</v>
      </c>
      <c r="K78" s="18" t="n">
        <v>1.23221115</v>
      </c>
      <c r="L78" s="20" t="n">
        <v>0.57592078</v>
      </c>
      <c r="M78" s="18" t="n">
        <v>1.95733885</v>
      </c>
      <c r="N78" s="20" t="n">
        <v>0.7094076</v>
      </c>
      <c r="O78" s="18" t="n">
        <v>6.20722494</v>
      </c>
      <c r="P78" s="20" t="n">
        <v>1.2875463</v>
      </c>
      <c r="Q78" s="18" t="n">
        <v>1.01740467</v>
      </c>
      <c r="R78" s="20" t="n">
        <v>0.39793482</v>
      </c>
      <c r="S78" s="18" t="n">
        <v>0.94329473</v>
      </c>
      <c r="T78" s="20" t="n">
        <v>0.4513397</v>
      </c>
      <c r="U78" s="18" t="s">
        <v>349</v>
      </c>
      <c r="V78" s="20" t="s">
        <v>349</v>
      </c>
      <c r="W78" s="18" t="n">
        <v>0</v>
      </c>
      <c r="X78" s="20" t="n">
        <v>0</v>
      </c>
      <c r="Y78" s="18" t="n">
        <v>0</v>
      </c>
      <c r="Z78" s="20" t="n">
        <v>0</v>
      </c>
      <c r="AA78" s="18" t="n">
        <v>0</v>
      </c>
      <c r="AB78" s="20" t="n">
        <v>0</v>
      </c>
      <c r="AC78" s="18" t="n">
        <v>6.29206045</v>
      </c>
      <c r="AD78" s="20" t="n">
        <v>1.16712242</v>
      </c>
    </row>
    <row customHeight="1" ht="25" r="79" spans="1:30">
      <c r="A79" s="15" t="s">
        <v>421</v>
      </c>
      <c r="B79" s="17" t="n">
        <v>870</v>
      </c>
      <c r="C79" s="18">
        <f>(722.0/B79*100)</f>
        <v/>
      </c>
      <c r="D79" s="19" t="n">
        <v>148</v>
      </c>
      <c r="E79" s="18" t="n">
        <v>27.76788025</v>
      </c>
      <c r="F79" s="20" t="n">
        <v>5.0192846</v>
      </c>
      <c r="G79" s="18" t="n">
        <v>0</v>
      </c>
      <c r="H79" s="20" t="n">
        <v>0</v>
      </c>
      <c r="I79" s="18" t="n">
        <v>1.40824859</v>
      </c>
      <c r="J79" s="20" t="n">
        <v>0.98367944</v>
      </c>
      <c r="K79" s="18" t="n">
        <v>4.63533972</v>
      </c>
      <c r="L79" s="20" t="n">
        <v>1.74850606</v>
      </c>
      <c r="M79" s="18" t="n">
        <v>1.34911784</v>
      </c>
      <c r="N79" s="20" t="n">
        <v>0.95077779</v>
      </c>
      <c r="O79" s="18" t="n">
        <v>0.71381711</v>
      </c>
      <c r="P79" s="20" t="n">
        <v>0.72185693</v>
      </c>
      <c r="Q79" s="18" t="n">
        <v>1.57275121</v>
      </c>
      <c r="R79" s="20" t="n">
        <v>0.90994117</v>
      </c>
      <c r="S79" s="18" t="n">
        <v>2.76456374</v>
      </c>
      <c r="T79" s="20" t="n">
        <v>1.59049572</v>
      </c>
      <c r="U79" s="18" t="s">
        <v>349</v>
      </c>
      <c r="V79" s="20" t="s">
        <v>349</v>
      </c>
      <c r="W79" s="18" t="n">
        <v>5.6630479</v>
      </c>
      <c r="X79" s="20" t="n">
        <v>2.00402805</v>
      </c>
      <c r="Y79" s="18" t="n">
        <v>0</v>
      </c>
      <c r="Z79" s="20" t="n">
        <v>0</v>
      </c>
      <c r="AA79" s="18" t="n">
        <v>0</v>
      </c>
      <c r="AB79" s="20" t="n">
        <v>0</v>
      </c>
      <c r="AC79" s="18" t="n">
        <v>54.12523363</v>
      </c>
      <c r="AD79" s="20" t="n">
        <v>3.84831863</v>
      </c>
    </row>
    <row r="80" spans="1:30">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c r="Y80" s="18" t="s">
        <v>349</v>
      </c>
      <c r="Z80" s="20" t="s">
        <v>349</v>
      </c>
      <c r="AA80" s="18" t="s">
        <v>349</v>
      </c>
      <c r="AB80" s="20" t="s">
        <v>349</v>
      </c>
      <c r="AC80" s="18" t="s">
        <v>349</v>
      </c>
      <c r="AD80" s="20" t="s">
        <v>349</v>
      </c>
    </row>
    <row r="81" spans="1:30">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c r="U81" s="18" t="s">
        <v>349</v>
      </c>
      <c r="V81" s="20" t="s">
        <v>349</v>
      </c>
      <c r="W81" s="18" t="s">
        <v>349</v>
      </c>
      <c r="X81" s="20" t="s">
        <v>349</v>
      </c>
      <c r="Y81" s="18" t="s">
        <v>349</v>
      </c>
      <c r="Z81" s="20" t="s">
        <v>349</v>
      </c>
      <c r="AA81" s="18" t="s">
        <v>349</v>
      </c>
      <c r="AB81" s="20" t="s">
        <v>349</v>
      </c>
      <c r="AC81" s="18" t="s">
        <v>349</v>
      </c>
      <c r="AD81" s="20" t="s">
        <v>349</v>
      </c>
    </row>
    <row r="82" spans="1:3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c r="Y82" s="22" t="s">
        <v>424</v>
      </c>
      <c r="Z82" s="22" t="s">
        <v>424</v>
      </c>
      <c r="AA82" s="22" t="s">
        <v>424</v>
      </c>
      <c r="AB82" s="22" t="s">
        <v>424</v>
      </c>
      <c r="AC82" s="22" t="s">
        <v>424</v>
      </c>
      <c r="AD82" s="22" t="s">
        <v>424</v>
      </c>
    </row>
    <row r="83" spans="1:30">
      <c r="A83" s="3" t="s">
        <v>425</v>
      </c>
    </row>
    <row r="84" spans="1:30">
      <c r="A84" s="23" t="s">
        <v>426</v>
      </c>
    </row>
    <row r="85" spans="1:30">
      <c r="A85" s="23" t="s">
        <v>427</v>
      </c>
    </row>
    <row customHeight="1" ht="30" r="86" spans="1:30">
      <c r="A86" s="23" t="s">
        <v>428</v>
      </c>
    </row>
    <row customHeight="1" ht="30" r="87" spans="1:30">
      <c r="A87" s="23" t="s">
        <v>424</v>
      </c>
    </row>
    <row customHeight="1" ht="30" r="88" spans="1:30">
      <c r="A88" s="23" t="s">
        <v>429</v>
      </c>
    </row>
    <row customHeight="1" ht="30" r="89" spans="1:30">
      <c r="A89" s="23" t="s">
        <v>430</v>
      </c>
    </row>
    <row customHeight="1" ht="30" r="90" spans="1:30">
      <c r="A90" s="23" t="s">
        <v>431</v>
      </c>
    </row>
    <row customHeight="1" ht="30" r="91" spans="1:30">
      <c r="A91" s="23" t="s">
        <v>432</v>
      </c>
    </row>
    <row customHeight="1" ht="30" r="92" spans="1:30">
      <c r="A92" s="23" t="s">
        <v>433</v>
      </c>
    </row>
    <row customHeight="1" ht="30" r="93" spans="1:30">
      <c r="A93" s="23" t="s">
        <v>434</v>
      </c>
    </row>
    <row customHeight="1" ht="30" r="94" spans="1:30">
      <c r="A94" s="23" t="s">
        <v>435</v>
      </c>
    </row>
    <row customHeight="1" ht="30" r="95" spans="1:30">
      <c r="A95" s="23" t="s">
        <v>436</v>
      </c>
    </row>
    <row customHeight="1" ht="30" r="96" spans="1:30">
      <c r="A96" s="23" t="s">
        <v>437</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(2242.0/B44*100)</f>
        <v/>
      </c>
      <c r="D44" s="19" t="n">
        <v>449</v>
      </c>
      <c r="E44" s="18" t="n">
        <v>53.66508684</v>
      </c>
      <c r="F44" s="20" t="n">
        <v>2.83103162</v>
      </c>
      <c r="G44" s="18" t="n">
        <v>29.75179817</v>
      </c>
      <c r="H44" s="20" t="n">
        <v>2.66699679</v>
      </c>
      <c r="I44" s="18" t="s">
        <v>349</v>
      </c>
      <c r="J44" s="20" t="s">
        <v>349</v>
      </c>
      <c r="K44" s="18" t="n">
        <v>4.93191794</v>
      </c>
      <c r="L44" s="20" t="n">
        <v>1.15992823</v>
      </c>
      <c r="M44" s="18" t="n">
        <v>0</v>
      </c>
      <c r="N44" s="20" t="n">
        <v>0</v>
      </c>
      <c r="O44" s="18" t="n">
        <v>0</v>
      </c>
      <c r="P44" s="20" t="n">
        <v>0</v>
      </c>
      <c r="Q44" s="18" t="n">
        <v>11.65119704</v>
      </c>
      <c r="R44" s="20" t="n">
        <v>1.91737398</v>
      </c>
    </row>
    <row r="45" spans="1:18">
      <c r="A45" s="15" t="s">
        <v>387</v>
      </c>
      <c r="B45" s="17" t="n">
        <v>2670</v>
      </c>
      <c r="C45" s="18">
        <f>(2216.0/B45*100)</f>
        <v/>
      </c>
      <c r="D45" s="19" t="n">
        <v>454</v>
      </c>
      <c r="E45" s="18" t="n">
        <v>67.30246362</v>
      </c>
      <c r="F45" s="20" t="n">
        <v>2.11539636</v>
      </c>
      <c r="G45" s="18" t="n">
        <v>15.94697211</v>
      </c>
      <c r="H45" s="20" t="n">
        <v>1.50276502</v>
      </c>
      <c r="I45" s="18" t="s">
        <v>349</v>
      </c>
      <c r="J45" s="20" t="s">
        <v>349</v>
      </c>
      <c r="K45" s="18" t="n">
        <v>5.70783132</v>
      </c>
      <c r="L45" s="20" t="n">
        <v>1.21234469</v>
      </c>
      <c r="M45" s="18" t="n">
        <v>0.52053704</v>
      </c>
      <c r="N45" s="20" t="n">
        <v>0.36175131</v>
      </c>
      <c r="O45" s="18" t="n">
        <v>0</v>
      </c>
      <c r="P45" s="20" t="n">
        <v>0</v>
      </c>
      <c r="Q45" s="18" t="n">
        <v>10.52219591</v>
      </c>
      <c r="R45" s="20" t="n">
        <v>1.60222993</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(2795.0/B49*100)</f>
        <v/>
      </c>
      <c r="D49" s="19" t="n">
        <v>536</v>
      </c>
      <c r="E49" s="18" t="n">
        <v>51.2341511</v>
      </c>
      <c r="F49" s="20" t="n">
        <v>2.51803916</v>
      </c>
      <c r="G49" s="18" t="n">
        <v>31.68777925</v>
      </c>
      <c r="H49" s="20" t="n">
        <v>2.36758457</v>
      </c>
      <c r="I49" s="18" t="s">
        <v>349</v>
      </c>
      <c r="J49" s="20" t="s">
        <v>349</v>
      </c>
      <c r="K49" s="18" t="n">
        <v>5.02532161</v>
      </c>
      <c r="L49" s="20" t="n">
        <v>1.08799571</v>
      </c>
      <c r="M49" s="18" t="n">
        <v>0</v>
      </c>
      <c r="N49" s="20" t="n">
        <v>0</v>
      </c>
      <c r="O49" s="18" t="n">
        <v>0</v>
      </c>
      <c r="P49" s="20" t="n">
        <v>0</v>
      </c>
      <c r="Q49" s="18" t="n">
        <v>12.05274805</v>
      </c>
      <c r="R49" s="20" t="n">
        <v>1.74416698</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(2138.0/B55*100)</f>
        <v/>
      </c>
      <c r="D55" s="19" t="n">
        <v>419</v>
      </c>
      <c r="E55" s="18" t="n">
        <v>57.12881051</v>
      </c>
      <c r="F55" s="20" t="n">
        <v>2.51031975</v>
      </c>
      <c r="G55" s="18" t="n">
        <v>32.66534273</v>
      </c>
      <c r="H55" s="20" t="n">
        <v>2.36355314</v>
      </c>
      <c r="I55" s="18" t="s">
        <v>349</v>
      </c>
      <c r="J55" s="20" t="s">
        <v>349</v>
      </c>
      <c r="K55" s="18" t="n">
        <v>3.38817677</v>
      </c>
      <c r="L55" s="20" t="n">
        <v>1.01732098</v>
      </c>
      <c r="M55" s="18" t="n">
        <v>0</v>
      </c>
      <c r="N55" s="20" t="n">
        <v>0</v>
      </c>
      <c r="O55" s="18" t="n">
        <v>0</v>
      </c>
      <c r="P55" s="20" t="n">
        <v>0</v>
      </c>
      <c r="Q55" s="18" t="n">
        <v>6.81767</v>
      </c>
      <c r="R55" s="20" t="n">
        <v>1.23526878</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(2767.0/B57*100)</f>
        <v/>
      </c>
      <c r="D57" s="19" t="n">
        <v>576</v>
      </c>
      <c r="E57" s="18" t="n">
        <v>62.60735754</v>
      </c>
      <c r="F57" s="20" t="n">
        <v>2.12350497</v>
      </c>
      <c r="G57" s="18" t="n">
        <v>31.40748347</v>
      </c>
      <c r="H57" s="20" t="n">
        <v>1.90394815</v>
      </c>
      <c r="I57" s="18" t="s">
        <v>349</v>
      </c>
      <c r="J57" s="20" t="s">
        <v>349</v>
      </c>
      <c r="K57" s="18" t="n">
        <v>1.61246599</v>
      </c>
      <c r="L57" s="20" t="n">
        <v>0.61377664</v>
      </c>
      <c r="M57" s="18" t="n">
        <v>0</v>
      </c>
      <c r="N57" s="20" t="n">
        <v>0</v>
      </c>
      <c r="O57" s="18" t="n">
        <v>0</v>
      </c>
      <c r="P57" s="20" t="n">
        <v>0</v>
      </c>
      <c r="Q57" s="18" t="n">
        <v>4.37269299</v>
      </c>
      <c r="R57" s="20" t="n">
        <v>0.96868053</v>
      </c>
    </row>
    <row r="58" spans="1:18">
      <c r="A58" s="15" t="s">
        <v>400</v>
      </c>
      <c r="B58" s="17" t="n">
        <v>3737</v>
      </c>
      <c r="C58" s="18">
        <f>(3106.0/B58*100)</f>
        <v/>
      </c>
      <c r="D58" s="19" t="n">
        <v>631</v>
      </c>
      <c r="E58" s="18" t="n">
        <v>66.15498536</v>
      </c>
      <c r="F58" s="20" t="n">
        <v>1.97992966</v>
      </c>
      <c r="G58" s="18" t="n">
        <v>27.27401685</v>
      </c>
      <c r="H58" s="20" t="n">
        <v>1.71329924</v>
      </c>
      <c r="I58" s="18" t="s">
        <v>349</v>
      </c>
      <c r="J58" s="20" t="s">
        <v>349</v>
      </c>
      <c r="K58" s="18" t="n">
        <v>0.98935467</v>
      </c>
      <c r="L58" s="20" t="n">
        <v>0.38892493</v>
      </c>
      <c r="M58" s="18" t="n">
        <v>0</v>
      </c>
      <c r="N58" s="20" t="n">
        <v>0</v>
      </c>
      <c r="O58" s="18" t="n">
        <v>0</v>
      </c>
      <c r="P58" s="20" t="n">
        <v>0</v>
      </c>
      <c r="Q58" s="18" t="n">
        <v>5.58164312</v>
      </c>
      <c r="R58" s="20" t="n">
        <v>1.08603633</v>
      </c>
    </row>
    <row r="59" spans="1:18">
      <c r="A59" s="15" t="s">
        <v>401</v>
      </c>
      <c r="B59" s="17" t="n">
        <v>2278</v>
      </c>
      <c r="C59" s="18">
        <f>(1910.0/B59*100)</f>
        <v/>
      </c>
      <c r="D59" s="19" t="n">
        <v>368</v>
      </c>
      <c r="E59" s="18" t="n">
        <v>70.01059835</v>
      </c>
      <c r="F59" s="20" t="n">
        <v>2.32579469</v>
      </c>
      <c r="G59" s="18" t="n">
        <v>22.48863243</v>
      </c>
      <c r="H59" s="20" t="n">
        <v>2.24493354</v>
      </c>
      <c r="I59" s="18" t="s">
        <v>349</v>
      </c>
      <c r="J59" s="20" t="s">
        <v>349</v>
      </c>
      <c r="K59" s="18" t="n">
        <v>1.12060907</v>
      </c>
      <c r="L59" s="20" t="n">
        <v>0.45562699</v>
      </c>
      <c r="M59" s="18" t="n">
        <v>0</v>
      </c>
      <c r="N59" s="20" t="n">
        <v>0</v>
      </c>
      <c r="O59" s="18" t="n">
        <v>0</v>
      </c>
      <c r="P59" s="20" t="n">
        <v>0</v>
      </c>
      <c r="Q59" s="18" t="n">
        <v>6.38016015</v>
      </c>
      <c r="R59" s="20" t="n">
        <v>1.25326518</v>
      </c>
    </row>
    <row r="60" spans="1:18">
      <c r="A60" s="15" t="s">
        <v>402</v>
      </c>
      <c r="B60" s="17" t="n">
        <v>2451</v>
      </c>
      <c r="C60" s="18">
        <f>(2037.0/B60*100)</f>
        <v/>
      </c>
      <c r="D60" s="19" t="n">
        <v>414</v>
      </c>
      <c r="E60" s="18" t="n">
        <v>59.46565074</v>
      </c>
      <c r="F60" s="20" t="n">
        <v>2.58749911</v>
      </c>
      <c r="G60" s="18" t="n">
        <v>25.63119166</v>
      </c>
      <c r="H60" s="20" t="n">
        <v>2.37715075</v>
      </c>
      <c r="I60" s="18" t="s">
        <v>349</v>
      </c>
      <c r="J60" s="20" t="s">
        <v>349</v>
      </c>
      <c r="K60" s="18" t="n">
        <v>6.14190952</v>
      </c>
      <c r="L60" s="20" t="n">
        <v>1.45214979</v>
      </c>
      <c r="M60" s="18" t="n">
        <v>0</v>
      </c>
      <c r="N60" s="20" t="n">
        <v>0</v>
      </c>
      <c r="O60" s="18" t="n">
        <v>0</v>
      </c>
      <c r="P60" s="20" t="n">
        <v>0</v>
      </c>
      <c r="Q60" s="18" t="n">
        <v>8.76124808</v>
      </c>
      <c r="R60" s="20" t="n">
        <v>1.37920065</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(2065.0/B63*100)</f>
        <v/>
      </c>
      <c r="D63" s="19" t="n">
        <v>446</v>
      </c>
      <c r="E63" s="18" t="n">
        <v>61.07620073</v>
      </c>
      <c r="F63" s="20" t="n">
        <v>2.42665679</v>
      </c>
      <c r="G63" s="18" t="n">
        <v>22.83917411</v>
      </c>
      <c r="H63" s="20" t="n">
        <v>2.36694339</v>
      </c>
      <c r="I63" s="18" t="s">
        <v>349</v>
      </c>
      <c r="J63" s="20" t="s">
        <v>349</v>
      </c>
      <c r="K63" s="18" t="n">
        <v>3.01190817</v>
      </c>
      <c r="L63" s="20" t="n">
        <v>0.83157429</v>
      </c>
      <c r="M63" s="18" t="n">
        <v>0</v>
      </c>
      <c r="N63" s="20" t="n">
        <v>0</v>
      </c>
      <c r="O63" s="18" t="n">
        <v>0</v>
      </c>
      <c r="P63" s="20" t="n">
        <v>0</v>
      </c>
      <c r="Q63" s="18" t="n">
        <v>13.07271699</v>
      </c>
      <c r="R63" s="20" t="n">
        <v>1.83718454</v>
      </c>
    </row>
    <row r="64" spans="1:18">
      <c r="A64" s="15" t="s">
        <v>406</v>
      </c>
      <c r="B64" s="17" t="n">
        <v>1790</v>
      </c>
      <c r="C64" s="18">
        <f>(1496.0/B64*100)</f>
        <v/>
      </c>
      <c r="D64" s="19" t="n">
        <v>294</v>
      </c>
      <c r="E64" s="18" t="n">
        <v>44.56974101</v>
      </c>
      <c r="F64" s="20" t="n">
        <v>2.71593328</v>
      </c>
      <c r="G64" s="18" t="n">
        <v>53.26222872</v>
      </c>
      <c r="H64" s="20" t="n">
        <v>2.84419776</v>
      </c>
      <c r="I64" s="18" t="s">
        <v>349</v>
      </c>
      <c r="J64" s="20" t="s">
        <v>349</v>
      </c>
      <c r="K64" s="18" t="n">
        <v>1.56256891</v>
      </c>
      <c r="L64" s="20" t="n">
        <v>0.78119154</v>
      </c>
      <c r="M64" s="18" t="n">
        <v>0</v>
      </c>
      <c r="N64" s="20" t="n">
        <v>0</v>
      </c>
      <c r="O64" s="18" t="n">
        <v>0</v>
      </c>
      <c r="P64" s="20" t="n">
        <v>0</v>
      </c>
      <c r="Q64" s="18" t="n">
        <v>0.6054613599999999</v>
      </c>
      <c r="R64" s="20" t="n">
        <v>0.4294377</v>
      </c>
    </row>
    <row r="65" spans="1:18">
      <c r="A65" s="15" t="s">
        <v>407</v>
      </c>
      <c r="B65" s="17" t="n">
        <v>2634</v>
      </c>
      <c r="C65" s="18">
        <f>(2193.0/B65*100)</f>
        <v/>
      </c>
      <c r="D65" s="19" t="n">
        <v>441</v>
      </c>
      <c r="E65" s="18" t="n">
        <v>50.14928252</v>
      </c>
      <c r="F65" s="20" t="n">
        <v>2.63231181</v>
      </c>
      <c r="G65" s="18" t="n">
        <v>38.86445789</v>
      </c>
      <c r="H65" s="20" t="n">
        <v>3.00370762</v>
      </c>
      <c r="I65" s="18" t="s">
        <v>349</v>
      </c>
      <c r="J65" s="20" t="s">
        <v>349</v>
      </c>
      <c r="K65" s="18" t="n">
        <v>5.5936884</v>
      </c>
      <c r="L65" s="20" t="n">
        <v>1.13712395</v>
      </c>
      <c r="M65" s="18" t="n">
        <v>0</v>
      </c>
      <c r="N65" s="20" t="n">
        <v>0</v>
      </c>
      <c r="O65" s="18" t="n">
        <v>0</v>
      </c>
      <c r="P65" s="20" t="n">
        <v>0</v>
      </c>
      <c r="Q65" s="18" t="n">
        <v>5.39257119</v>
      </c>
      <c r="R65" s="20" t="n">
        <v>1.17900075</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(2054.0/B69*100)</f>
        <v/>
      </c>
      <c r="D69" s="19" t="n">
        <v>412</v>
      </c>
      <c r="E69" s="18" t="n">
        <v>69.11752533000001</v>
      </c>
      <c r="F69" s="20" t="n">
        <v>2.39623339</v>
      </c>
      <c r="G69" s="18" t="n">
        <v>29.55002089</v>
      </c>
      <c r="H69" s="20" t="n">
        <v>2.37225315</v>
      </c>
      <c r="I69" s="18" t="s">
        <v>349</v>
      </c>
      <c r="J69" s="20" t="s">
        <v>349</v>
      </c>
      <c r="K69" s="18" t="n">
        <v>0</v>
      </c>
      <c r="L69" s="20" t="n">
        <v>0</v>
      </c>
      <c r="M69" s="18" t="n">
        <v>0</v>
      </c>
      <c r="N69" s="20" t="n">
        <v>0</v>
      </c>
      <c r="O69" s="18" t="n">
        <v>0.18597196</v>
      </c>
      <c r="P69" s="20" t="n">
        <v>0.18688105</v>
      </c>
      <c r="Q69" s="18" t="n">
        <v>1.14648181</v>
      </c>
      <c r="R69" s="20" t="n">
        <v>0.51098373</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43.75583972</v>
      </c>
      <c r="F74" s="20" t="n">
        <v>2.63552602</v>
      </c>
      <c r="G74" s="18" t="n">
        <v>41.04241211</v>
      </c>
      <c r="H74" s="20" t="n">
        <v>2.53275114</v>
      </c>
      <c r="I74" s="18" t="s">
        <v>349</v>
      </c>
      <c r="J74" s="20" t="s">
        <v>349</v>
      </c>
      <c r="K74" s="18" t="n">
        <v>7.25959412</v>
      </c>
      <c r="L74" s="20" t="n">
        <v>1.50122408</v>
      </c>
      <c r="M74" s="18" t="n">
        <v>0</v>
      </c>
      <c r="N74" s="20" t="n">
        <v>0</v>
      </c>
      <c r="O74" s="18" t="n">
        <v>0</v>
      </c>
      <c r="P74" s="20" t="n">
        <v>0</v>
      </c>
      <c r="Q74" s="18" t="n">
        <v>7.94215405</v>
      </c>
      <c r="R74" s="20" t="n">
        <v>1.35714132</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(2539.0/B78*100)</f>
        <v/>
      </c>
      <c r="D78" s="19" t="n">
        <v>501</v>
      </c>
      <c r="E78" s="18" t="n">
        <v>16.53134993</v>
      </c>
      <c r="F78" s="20" t="n">
        <v>1.6779974</v>
      </c>
      <c r="G78" s="18" t="n">
        <v>83.46865007</v>
      </c>
      <c r="H78" s="20" t="n">
        <v>1.6779974</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(722.0/B79*100)</f>
        <v/>
      </c>
      <c r="D79" s="19" t="n">
        <v>148</v>
      </c>
      <c r="E79" s="18" t="n">
        <v>53.8308514</v>
      </c>
      <c r="F79" s="20" t="n">
        <v>5.71952687</v>
      </c>
      <c r="G79" s="18" t="n">
        <v>35.87452457</v>
      </c>
      <c r="H79" s="20" t="n">
        <v>4.35807693</v>
      </c>
      <c r="I79" s="18" t="s">
        <v>349</v>
      </c>
      <c r="J79" s="20" t="s">
        <v>349</v>
      </c>
      <c r="K79" s="18" t="n">
        <v>5.6630479</v>
      </c>
      <c r="L79" s="20" t="n">
        <v>2.00402805</v>
      </c>
      <c r="M79" s="18" t="n">
        <v>0</v>
      </c>
      <c r="N79" s="20" t="n">
        <v>0</v>
      </c>
      <c r="O79" s="18" t="n">
        <v>0</v>
      </c>
      <c r="P79" s="20" t="n">
        <v>0</v>
      </c>
      <c r="Q79" s="18" t="n">
        <v>4.63157613</v>
      </c>
      <c r="R79" s="20" t="n">
        <v>2.06423202</v>
      </c>
    </row>
    <row r="80" spans="1:18">
      <c r="A80" s="15" t="s">
        <v>422</v>
      </c>
      <c r="B80" s="17" t="n">
        <v>4043</v>
      </c>
      <c r="C80" s="18">
        <f>(3358.0/B80*100)</f>
        <v/>
      </c>
      <c r="D80" s="19" t="n">
        <v>685</v>
      </c>
      <c r="E80" s="18" t="n">
        <v>48.66067218</v>
      </c>
      <c r="F80" s="20" t="n">
        <v>2.71301231</v>
      </c>
      <c r="G80" s="18" t="n">
        <v>51.33932782</v>
      </c>
      <c r="H80" s="20" t="n">
        <v>2.71301231</v>
      </c>
      <c r="I80" s="18" t="s">
        <v>349</v>
      </c>
      <c r="J80" s="20" t="s">
        <v>349</v>
      </c>
      <c r="K80" s="18" t="n">
        <v>0</v>
      </c>
      <c r="L80" s="20" t="n">
        <v>0</v>
      </c>
      <c r="M80" s="18" t="n">
        <v>0</v>
      </c>
      <c r="N80" s="20" t="n">
        <v>0</v>
      </c>
      <c r="O80" s="18" t="n">
        <v>0</v>
      </c>
      <c r="P80" s="20" t="n">
        <v>0</v>
      </c>
      <c r="Q80" s="18" t="n">
        <v>0</v>
      </c>
      <c r="R80" s="20" t="n">
        <v>0</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(2242.0/B44*100)</f>
        <v/>
      </c>
      <c r="D44" s="19" t="n">
        <v>449</v>
      </c>
      <c r="E44" s="18" t="n">
        <v>40.7314793</v>
      </c>
      <c r="F44" s="20" t="n">
        <v>2.67434544</v>
      </c>
      <c r="G44" s="18" t="n">
        <v>26.15643063</v>
      </c>
      <c r="H44" s="20" t="n">
        <v>2.53968078</v>
      </c>
      <c r="I44" s="18" t="s">
        <v>349</v>
      </c>
      <c r="J44" s="20" t="s">
        <v>349</v>
      </c>
      <c r="K44" s="18" t="n">
        <v>7.49837861</v>
      </c>
      <c r="L44" s="20" t="n">
        <v>1.35019028</v>
      </c>
      <c r="M44" s="18" t="n">
        <v>0</v>
      </c>
      <c r="N44" s="20" t="n">
        <v>0</v>
      </c>
      <c r="O44" s="18" t="n">
        <v>0</v>
      </c>
      <c r="P44" s="20" t="n">
        <v>0</v>
      </c>
      <c r="Q44" s="18" t="n">
        <v>25.61371146</v>
      </c>
      <c r="R44" s="20" t="n">
        <v>2.41607547</v>
      </c>
    </row>
    <row r="45" spans="1:18">
      <c r="A45" s="15" t="s">
        <v>387</v>
      </c>
      <c r="B45" s="17" t="n">
        <v>2670</v>
      </c>
      <c r="C45" s="18">
        <f>(2216.0/B45*100)</f>
        <v/>
      </c>
      <c r="D45" s="19" t="n">
        <v>454</v>
      </c>
      <c r="E45" s="18" t="n">
        <v>67.84938135</v>
      </c>
      <c r="F45" s="20" t="n">
        <v>2.41110741</v>
      </c>
      <c r="G45" s="18" t="n">
        <v>4.46327087</v>
      </c>
      <c r="H45" s="20" t="n">
        <v>1.31428659</v>
      </c>
      <c r="I45" s="18" t="s">
        <v>349</v>
      </c>
      <c r="J45" s="20" t="s">
        <v>349</v>
      </c>
      <c r="K45" s="18" t="n">
        <v>7.50313386</v>
      </c>
      <c r="L45" s="20" t="n">
        <v>1.33444829</v>
      </c>
      <c r="M45" s="18" t="n">
        <v>0</v>
      </c>
      <c r="N45" s="20" t="n">
        <v>0</v>
      </c>
      <c r="O45" s="18" t="n">
        <v>0.50838931</v>
      </c>
      <c r="P45" s="20" t="n">
        <v>0.31357544</v>
      </c>
      <c r="Q45" s="18" t="n">
        <v>19.67582461</v>
      </c>
      <c r="R45" s="20" t="n">
        <v>2.02627851</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(2795.0/B49*100)</f>
        <v/>
      </c>
      <c r="D49" s="19" t="n">
        <v>536</v>
      </c>
      <c r="E49" s="18" t="n">
        <v>65.65743766</v>
      </c>
      <c r="F49" s="20" t="n">
        <v>2.69735808</v>
      </c>
      <c r="G49" s="18" t="n">
        <v>10.49463058</v>
      </c>
      <c r="H49" s="20" t="n">
        <v>1.81830963</v>
      </c>
      <c r="I49" s="18" t="s">
        <v>349</v>
      </c>
      <c r="J49" s="20" t="s">
        <v>349</v>
      </c>
      <c r="K49" s="18" t="n">
        <v>5.5698705</v>
      </c>
      <c r="L49" s="20" t="n">
        <v>1.15721375</v>
      </c>
      <c r="M49" s="18" t="n">
        <v>0</v>
      </c>
      <c r="N49" s="20" t="n">
        <v>0</v>
      </c>
      <c r="O49" s="18" t="n">
        <v>0</v>
      </c>
      <c r="P49" s="20" t="n">
        <v>0</v>
      </c>
      <c r="Q49" s="18" t="n">
        <v>18.27806125</v>
      </c>
      <c r="R49" s="20" t="n">
        <v>2.33230698</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(2138.0/B55*100)</f>
        <v/>
      </c>
      <c r="D55" s="19" t="n">
        <v>419</v>
      </c>
      <c r="E55" s="18" t="n">
        <v>48.42348545</v>
      </c>
      <c r="F55" s="20" t="n">
        <v>2.51885279</v>
      </c>
      <c r="G55" s="18" t="n">
        <v>27.10538215</v>
      </c>
      <c r="H55" s="20" t="n">
        <v>2.18854086</v>
      </c>
      <c r="I55" s="18" t="s">
        <v>349</v>
      </c>
      <c r="J55" s="20" t="s">
        <v>349</v>
      </c>
      <c r="K55" s="18" t="n">
        <v>5.45309751</v>
      </c>
      <c r="L55" s="20" t="n">
        <v>1.23478378</v>
      </c>
      <c r="M55" s="18" t="n">
        <v>0</v>
      </c>
      <c r="N55" s="20" t="n">
        <v>0</v>
      </c>
      <c r="O55" s="18" t="n">
        <v>0</v>
      </c>
      <c r="P55" s="20" t="n">
        <v>0</v>
      </c>
      <c r="Q55" s="18" t="n">
        <v>19.01803489</v>
      </c>
      <c r="R55" s="20" t="n">
        <v>1.78892588</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(2767.0/B57*100)</f>
        <v/>
      </c>
      <c r="D57" s="19" t="n">
        <v>576</v>
      </c>
      <c r="E57" s="18" t="n">
        <v>70.69334886</v>
      </c>
      <c r="F57" s="20" t="n">
        <v>2.14496989</v>
      </c>
      <c r="G57" s="18" t="n">
        <v>19.59276881</v>
      </c>
      <c r="H57" s="20" t="n">
        <v>1.74358431</v>
      </c>
      <c r="I57" s="18" t="s">
        <v>349</v>
      </c>
      <c r="J57" s="20" t="s">
        <v>349</v>
      </c>
      <c r="K57" s="18" t="n">
        <v>1.99352157</v>
      </c>
      <c r="L57" s="20" t="n">
        <v>0.60925451</v>
      </c>
      <c r="M57" s="18" t="n">
        <v>0</v>
      </c>
      <c r="N57" s="20" t="n">
        <v>0</v>
      </c>
      <c r="O57" s="18" t="n">
        <v>0</v>
      </c>
      <c r="P57" s="20" t="n">
        <v>0</v>
      </c>
      <c r="Q57" s="18" t="n">
        <v>7.72036075</v>
      </c>
      <c r="R57" s="20" t="n">
        <v>1.31058765</v>
      </c>
    </row>
    <row r="58" spans="1:18">
      <c r="A58" s="15" t="s">
        <v>400</v>
      </c>
      <c r="B58" s="17" t="n">
        <v>3737</v>
      </c>
      <c r="C58" s="18">
        <f>(3106.0/B58*100)</f>
        <v/>
      </c>
      <c r="D58" s="19" t="n">
        <v>631</v>
      </c>
      <c r="E58" s="18" t="n">
        <v>76.04626872999999</v>
      </c>
      <c r="F58" s="20" t="n">
        <v>1.79014693</v>
      </c>
      <c r="G58" s="18" t="n">
        <v>15.00640306</v>
      </c>
      <c r="H58" s="20" t="n">
        <v>1.64398913</v>
      </c>
      <c r="I58" s="18" t="s">
        <v>349</v>
      </c>
      <c r="J58" s="20" t="s">
        <v>349</v>
      </c>
      <c r="K58" s="18" t="n">
        <v>2.1756959</v>
      </c>
      <c r="L58" s="20" t="n">
        <v>0.72632508</v>
      </c>
      <c r="M58" s="18" t="n">
        <v>0</v>
      </c>
      <c r="N58" s="20" t="n">
        <v>0</v>
      </c>
      <c r="O58" s="18" t="n">
        <v>0</v>
      </c>
      <c r="P58" s="20" t="n">
        <v>0</v>
      </c>
      <c r="Q58" s="18" t="n">
        <v>6.77163231</v>
      </c>
      <c r="R58" s="20" t="n">
        <v>1.34188321</v>
      </c>
    </row>
    <row r="59" spans="1:18">
      <c r="A59" s="15" t="s">
        <v>401</v>
      </c>
      <c r="B59" s="17" t="n">
        <v>2278</v>
      </c>
      <c r="C59" s="18">
        <f>(1910.0/B59*100)</f>
        <v/>
      </c>
      <c r="D59" s="19" t="n">
        <v>368</v>
      </c>
      <c r="E59" s="18" t="n">
        <v>72.95850548</v>
      </c>
      <c r="F59" s="20" t="n">
        <v>2.55040829</v>
      </c>
      <c r="G59" s="18" t="n">
        <v>8.26461046</v>
      </c>
      <c r="H59" s="20" t="n">
        <v>1.50595535</v>
      </c>
      <c r="I59" s="18" t="s">
        <v>349</v>
      </c>
      <c r="J59" s="20" t="s">
        <v>349</v>
      </c>
      <c r="K59" s="18" t="n">
        <v>1.45499165</v>
      </c>
      <c r="L59" s="20" t="n">
        <v>0.47362736</v>
      </c>
      <c r="M59" s="18" t="n">
        <v>0</v>
      </c>
      <c r="N59" s="20" t="n">
        <v>0</v>
      </c>
      <c r="O59" s="18" t="n">
        <v>0</v>
      </c>
      <c r="P59" s="20" t="n">
        <v>0</v>
      </c>
      <c r="Q59" s="18" t="n">
        <v>17.32189241</v>
      </c>
      <c r="R59" s="20" t="n">
        <v>2.15346185</v>
      </c>
    </row>
    <row r="60" spans="1:18">
      <c r="A60" s="15" t="s">
        <v>402</v>
      </c>
      <c r="B60" s="17" t="n">
        <v>2451</v>
      </c>
      <c r="C60" s="18">
        <f>(2037.0/B60*100)</f>
        <v/>
      </c>
      <c r="D60" s="19" t="n">
        <v>414</v>
      </c>
      <c r="E60" s="18" t="n">
        <v>52.63598517</v>
      </c>
      <c r="F60" s="20" t="n">
        <v>2.85469019</v>
      </c>
      <c r="G60" s="18" t="n">
        <v>20.95300672</v>
      </c>
      <c r="H60" s="20" t="n">
        <v>2.24551734</v>
      </c>
      <c r="I60" s="18" t="s">
        <v>349</v>
      </c>
      <c r="J60" s="20" t="s">
        <v>349</v>
      </c>
      <c r="K60" s="18" t="n">
        <v>7.94802759</v>
      </c>
      <c r="L60" s="20" t="n">
        <v>1.48492862</v>
      </c>
      <c r="M60" s="18" t="n">
        <v>0</v>
      </c>
      <c r="N60" s="20" t="n">
        <v>0</v>
      </c>
      <c r="O60" s="18" t="n">
        <v>0.74337203</v>
      </c>
      <c r="P60" s="20" t="n">
        <v>0.54818392</v>
      </c>
      <c r="Q60" s="18" t="n">
        <v>17.71960849</v>
      </c>
      <c r="R60" s="20" t="n">
        <v>2.59919306</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(2065.0/B63*100)</f>
        <v/>
      </c>
      <c r="D63" s="19" t="n">
        <v>446</v>
      </c>
      <c r="E63" s="18" t="n">
        <v>40.99275374</v>
      </c>
      <c r="F63" s="20" t="n">
        <v>2.5778222</v>
      </c>
      <c r="G63" s="18" t="n">
        <v>16.11716775</v>
      </c>
      <c r="H63" s="20" t="n">
        <v>1.87461357</v>
      </c>
      <c r="I63" s="18" t="s">
        <v>349</v>
      </c>
      <c r="J63" s="20" t="s">
        <v>349</v>
      </c>
      <c r="K63" s="18" t="n">
        <v>5.2794091</v>
      </c>
      <c r="L63" s="20" t="n">
        <v>1.12622193</v>
      </c>
      <c r="M63" s="18" t="n">
        <v>0</v>
      </c>
      <c r="N63" s="20" t="n">
        <v>0</v>
      </c>
      <c r="O63" s="18" t="n">
        <v>0</v>
      </c>
      <c r="P63" s="20" t="n">
        <v>0</v>
      </c>
      <c r="Q63" s="18" t="n">
        <v>37.61066941</v>
      </c>
      <c r="R63" s="20" t="n">
        <v>2.3604343</v>
      </c>
    </row>
    <row r="64" spans="1:18">
      <c r="A64" s="15" t="s">
        <v>406</v>
      </c>
      <c r="B64" s="17" t="n">
        <v>1790</v>
      </c>
      <c r="C64" s="18">
        <f>(1496.0/B64*100)</f>
        <v/>
      </c>
      <c r="D64" s="19" t="n">
        <v>294</v>
      </c>
      <c r="E64" s="18" t="n">
        <v>39.64353674</v>
      </c>
      <c r="F64" s="20" t="n">
        <v>3.01604073</v>
      </c>
      <c r="G64" s="18" t="n">
        <v>54.36354234</v>
      </c>
      <c r="H64" s="20" t="n">
        <v>3.0293287</v>
      </c>
      <c r="I64" s="18" t="s">
        <v>349</v>
      </c>
      <c r="J64" s="20" t="s">
        <v>349</v>
      </c>
      <c r="K64" s="18" t="n">
        <v>2.31391646</v>
      </c>
      <c r="L64" s="20" t="n">
        <v>0.93594862</v>
      </c>
      <c r="M64" s="18" t="n">
        <v>0</v>
      </c>
      <c r="N64" s="20" t="n">
        <v>0</v>
      </c>
      <c r="O64" s="18" t="n">
        <v>0</v>
      </c>
      <c r="P64" s="20" t="n">
        <v>0</v>
      </c>
      <c r="Q64" s="18" t="n">
        <v>3.67900447</v>
      </c>
      <c r="R64" s="20" t="n">
        <v>1.18747493</v>
      </c>
    </row>
    <row r="65" spans="1:18">
      <c r="A65" s="15" t="s">
        <v>407</v>
      </c>
      <c r="B65" s="17" t="n">
        <v>2634</v>
      </c>
      <c r="C65" s="18">
        <f>(2193.0/B65*100)</f>
        <v/>
      </c>
      <c r="D65" s="19" t="n">
        <v>441</v>
      </c>
      <c r="E65" s="18" t="n">
        <v>54.96172991</v>
      </c>
      <c r="F65" s="20" t="n">
        <v>2.43905024</v>
      </c>
      <c r="G65" s="18" t="n">
        <v>20.6955948</v>
      </c>
      <c r="H65" s="20" t="n">
        <v>2.22166028</v>
      </c>
      <c r="I65" s="18" t="s">
        <v>349</v>
      </c>
      <c r="J65" s="20" t="s">
        <v>349</v>
      </c>
      <c r="K65" s="18" t="n">
        <v>8.86177445</v>
      </c>
      <c r="L65" s="20" t="n">
        <v>1.50185813</v>
      </c>
      <c r="M65" s="18" t="n">
        <v>0</v>
      </c>
      <c r="N65" s="20" t="n">
        <v>0</v>
      </c>
      <c r="O65" s="18" t="n">
        <v>0</v>
      </c>
      <c r="P65" s="20" t="n">
        <v>0</v>
      </c>
      <c r="Q65" s="18" t="n">
        <v>15.48090084</v>
      </c>
      <c r="R65" s="20" t="n">
        <v>1.77338089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(2054.0/B69*100)</f>
        <v/>
      </c>
      <c r="D69" s="19" t="n">
        <v>412</v>
      </c>
      <c r="E69" s="18" t="n">
        <v>70.29490649</v>
      </c>
      <c r="F69" s="20" t="n">
        <v>2.23203127</v>
      </c>
      <c r="G69" s="18" t="n">
        <v>29.70509351</v>
      </c>
      <c r="H69" s="20" t="n">
        <v>2.23203127</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46.69436675</v>
      </c>
      <c r="F74" s="20" t="n">
        <v>2.61790631</v>
      </c>
      <c r="G74" s="18" t="n">
        <v>34.01764842</v>
      </c>
      <c r="H74" s="20" t="n">
        <v>2.39355939</v>
      </c>
      <c r="I74" s="18" t="s">
        <v>349</v>
      </c>
      <c r="J74" s="20" t="s">
        <v>349</v>
      </c>
      <c r="K74" s="18" t="n">
        <v>9.45962802</v>
      </c>
      <c r="L74" s="20" t="n">
        <v>1.49380275</v>
      </c>
      <c r="M74" s="18" t="n">
        <v>0</v>
      </c>
      <c r="N74" s="20" t="n">
        <v>0</v>
      </c>
      <c r="O74" s="18" t="n">
        <v>0</v>
      </c>
      <c r="P74" s="20" t="n">
        <v>0</v>
      </c>
      <c r="Q74" s="18" t="n">
        <v>9.828356810000001</v>
      </c>
      <c r="R74" s="20" t="n">
        <v>1.61231792</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(2539.0/B78*100)</f>
        <v/>
      </c>
      <c r="D78" s="19" t="n">
        <v>501</v>
      </c>
      <c r="E78" s="18" t="n">
        <v>54.49078619</v>
      </c>
      <c r="F78" s="20" t="n">
        <v>2.69180834</v>
      </c>
      <c r="G78" s="18" t="n">
        <v>43.90415942</v>
      </c>
      <c r="H78" s="20" t="n">
        <v>2.74695645</v>
      </c>
      <c r="I78" s="18" t="s">
        <v>349</v>
      </c>
      <c r="J78" s="20" t="s">
        <v>349</v>
      </c>
      <c r="K78" s="18" t="n">
        <v>0</v>
      </c>
      <c r="L78" s="20" t="n">
        <v>0</v>
      </c>
      <c r="M78" s="18" t="n">
        <v>0</v>
      </c>
      <c r="N78" s="20" t="n">
        <v>0</v>
      </c>
      <c r="O78" s="18" t="n">
        <v>0</v>
      </c>
      <c r="P78" s="20" t="n">
        <v>0</v>
      </c>
      <c r="Q78" s="18" t="n">
        <v>1.60505439</v>
      </c>
      <c r="R78" s="20" t="n">
        <v>0.58369852</v>
      </c>
    </row>
    <row customHeight="1" ht="25" r="79" spans="1:18">
      <c r="A79" s="15" t="s">
        <v>421</v>
      </c>
      <c r="B79" s="17" t="n">
        <v>870</v>
      </c>
      <c r="C79" s="18">
        <f>(722.0/B79*100)</f>
        <v/>
      </c>
      <c r="D79" s="19" t="n">
        <v>148</v>
      </c>
      <c r="E79" s="18" t="n">
        <v>46.86435193</v>
      </c>
      <c r="F79" s="20" t="n">
        <v>4.8963047</v>
      </c>
      <c r="G79" s="18" t="n">
        <v>27.02123382</v>
      </c>
      <c r="H79" s="20" t="n">
        <v>4.88183873</v>
      </c>
      <c r="I79" s="18" t="s">
        <v>349</v>
      </c>
      <c r="J79" s="20" t="s">
        <v>349</v>
      </c>
      <c r="K79" s="18" t="n">
        <v>8.38819784</v>
      </c>
      <c r="L79" s="20" t="n">
        <v>2.78846757</v>
      </c>
      <c r="M79" s="18" t="n">
        <v>0</v>
      </c>
      <c r="N79" s="20" t="n">
        <v>0</v>
      </c>
      <c r="O79" s="18" t="n">
        <v>0</v>
      </c>
      <c r="P79" s="20" t="n">
        <v>0</v>
      </c>
      <c r="Q79" s="18" t="n">
        <v>17.72621642</v>
      </c>
      <c r="R79" s="20" t="n">
        <v>2.97606359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(2242.0/B44*100)</f>
        <v/>
      </c>
      <c r="D44" s="19" t="n">
        <v>449</v>
      </c>
      <c r="E44" s="18" t="n">
        <v>54.40858347</v>
      </c>
      <c r="F44" s="20" t="n">
        <v>3.03847138</v>
      </c>
      <c r="G44" s="18" t="n">
        <v>19.72436559</v>
      </c>
      <c r="H44" s="20" t="n">
        <v>2.23194202</v>
      </c>
      <c r="I44" s="18" t="s">
        <v>349</v>
      </c>
      <c r="J44" s="20" t="s">
        <v>349</v>
      </c>
      <c r="K44" s="18" t="n">
        <v>8.017503550000001</v>
      </c>
      <c r="L44" s="20" t="n">
        <v>1.33969672</v>
      </c>
      <c r="M44" s="18" t="n">
        <v>0</v>
      </c>
      <c r="N44" s="20" t="n">
        <v>0</v>
      </c>
      <c r="O44" s="18" t="n">
        <v>0.24698429</v>
      </c>
      <c r="P44" s="20" t="n">
        <v>0.17801843</v>
      </c>
      <c r="Q44" s="18" t="n">
        <v>17.60256311</v>
      </c>
      <c r="R44" s="20" t="n">
        <v>2.1246216</v>
      </c>
    </row>
    <row r="45" spans="1:18">
      <c r="A45" s="15" t="s">
        <v>387</v>
      </c>
      <c r="B45" s="17" t="n">
        <v>2670</v>
      </c>
      <c r="C45" s="18">
        <f>(2216.0/B45*100)</f>
        <v/>
      </c>
      <c r="D45" s="19" t="n">
        <v>454</v>
      </c>
      <c r="E45" s="18" t="n">
        <v>55.08170774</v>
      </c>
      <c r="F45" s="20" t="n">
        <v>2.37335157</v>
      </c>
      <c r="G45" s="18" t="n">
        <v>21.29344816</v>
      </c>
      <c r="H45" s="20" t="n">
        <v>2.04002705</v>
      </c>
      <c r="I45" s="18" t="s">
        <v>349</v>
      </c>
      <c r="J45" s="20" t="s">
        <v>349</v>
      </c>
      <c r="K45" s="18" t="n">
        <v>7.76211125</v>
      </c>
      <c r="L45" s="20" t="n">
        <v>1.34578746</v>
      </c>
      <c r="M45" s="18" t="n">
        <v>0.22757828</v>
      </c>
      <c r="N45" s="20" t="n">
        <v>0.22519858</v>
      </c>
      <c r="O45" s="18" t="n">
        <v>1.13178464</v>
      </c>
      <c r="P45" s="20" t="n">
        <v>0.50149026</v>
      </c>
      <c r="Q45" s="18" t="n">
        <v>14.50336994</v>
      </c>
      <c r="R45" s="20" t="n">
        <v>2.01045759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(2795.0/B49*100)</f>
        <v/>
      </c>
      <c r="D49" s="19" t="n">
        <v>536</v>
      </c>
      <c r="E49" s="18" t="n">
        <v>50.32409895</v>
      </c>
      <c r="F49" s="20" t="n">
        <v>2.19899839</v>
      </c>
      <c r="G49" s="18" t="n">
        <v>31.96264645</v>
      </c>
      <c r="H49" s="20" t="n">
        <v>1.88015353</v>
      </c>
      <c r="I49" s="18" t="s">
        <v>349</v>
      </c>
      <c r="J49" s="20" t="s">
        <v>349</v>
      </c>
      <c r="K49" s="18" t="n">
        <v>6.2910006</v>
      </c>
      <c r="L49" s="20" t="n">
        <v>1.22352953</v>
      </c>
      <c r="M49" s="18" t="n">
        <v>0</v>
      </c>
      <c r="N49" s="20" t="n">
        <v>0</v>
      </c>
      <c r="O49" s="18" t="n">
        <v>0.45610983</v>
      </c>
      <c r="P49" s="20" t="n">
        <v>0.26921987</v>
      </c>
      <c r="Q49" s="18" t="n">
        <v>10.96614417</v>
      </c>
      <c r="R49" s="20" t="n">
        <v>1.70483813</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(2138.0/B55*100)</f>
        <v/>
      </c>
      <c r="D55" s="19" t="n">
        <v>419</v>
      </c>
      <c r="E55" s="18" t="n">
        <v>56.12951128</v>
      </c>
      <c r="F55" s="20" t="n">
        <v>2.49204119</v>
      </c>
      <c r="G55" s="18" t="n">
        <v>30.32839593</v>
      </c>
      <c r="H55" s="20" t="n">
        <v>2.54666969</v>
      </c>
      <c r="I55" s="18" t="s">
        <v>349</v>
      </c>
      <c r="J55" s="20" t="s">
        <v>349</v>
      </c>
      <c r="K55" s="18" t="n">
        <v>5.66160784</v>
      </c>
      <c r="L55" s="20" t="n">
        <v>1.25070894</v>
      </c>
      <c r="M55" s="18" t="n">
        <v>0</v>
      </c>
      <c r="N55" s="20" t="n">
        <v>0</v>
      </c>
      <c r="O55" s="18" t="n">
        <v>0.40919779</v>
      </c>
      <c r="P55" s="20" t="n">
        <v>0.28914271</v>
      </c>
      <c r="Q55" s="18" t="n">
        <v>7.47128716</v>
      </c>
      <c r="R55" s="20" t="n">
        <v>1.38499375</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(2767.0/B57*100)</f>
        <v/>
      </c>
      <c r="D57" s="19" t="n">
        <v>576</v>
      </c>
      <c r="E57" s="18" t="n">
        <v>44.40059408</v>
      </c>
      <c r="F57" s="20" t="n">
        <v>2.46301743</v>
      </c>
      <c r="G57" s="18" t="n">
        <v>44.95884211</v>
      </c>
      <c r="H57" s="20" t="n">
        <v>2.50512761</v>
      </c>
      <c r="I57" s="18" t="s">
        <v>349</v>
      </c>
      <c r="J57" s="20" t="s">
        <v>349</v>
      </c>
      <c r="K57" s="18" t="n">
        <v>2.09969038</v>
      </c>
      <c r="L57" s="20" t="n">
        <v>0.61008537</v>
      </c>
      <c r="M57" s="18" t="n">
        <v>0</v>
      </c>
      <c r="N57" s="20" t="n">
        <v>0</v>
      </c>
      <c r="O57" s="18" t="n">
        <v>0</v>
      </c>
      <c r="P57" s="20" t="n">
        <v>0</v>
      </c>
      <c r="Q57" s="18" t="n">
        <v>8.54087344</v>
      </c>
      <c r="R57" s="20" t="n">
        <v>1.19241264</v>
      </c>
    </row>
    <row r="58" spans="1:18">
      <c r="A58" s="15" t="s">
        <v>400</v>
      </c>
      <c r="B58" s="17" t="n">
        <v>3737</v>
      </c>
      <c r="C58" s="18">
        <f>(3106.0/B58*100)</f>
        <v/>
      </c>
      <c r="D58" s="19" t="n">
        <v>631</v>
      </c>
      <c r="E58" s="18" t="n">
        <v>55.26287157</v>
      </c>
      <c r="F58" s="20" t="n">
        <v>2.57330146</v>
      </c>
      <c r="G58" s="18" t="n">
        <v>35.1629809</v>
      </c>
      <c r="H58" s="20" t="n">
        <v>2.310341</v>
      </c>
      <c r="I58" s="18" t="s">
        <v>349</v>
      </c>
      <c r="J58" s="20" t="s">
        <v>349</v>
      </c>
      <c r="K58" s="18" t="n">
        <v>2.88805615</v>
      </c>
      <c r="L58" s="20" t="n">
        <v>0.79164407</v>
      </c>
      <c r="M58" s="18" t="n">
        <v>0</v>
      </c>
      <c r="N58" s="20" t="n">
        <v>0</v>
      </c>
      <c r="O58" s="18" t="n">
        <v>1.60632462</v>
      </c>
      <c r="P58" s="20" t="n">
        <v>0.63833418</v>
      </c>
      <c r="Q58" s="18" t="n">
        <v>5.07976676</v>
      </c>
      <c r="R58" s="20" t="n">
        <v>0.94966409</v>
      </c>
    </row>
    <row r="59" spans="1:18">
      <c r="A59" s="15" t="s">
        <v>401</v>
      </c>
      <c r="B59" s="17" t="n">
        <v>2278</v>
      </c>
      <c r="C59" s="18">
        <f>(1910.0/B59*100)</f>
        <v/>
      </c>
      <c r="D59" s="19" t="n">
        <v>368</v>
      </c>
      <c r="E59" s="18" t="n">
        <v>72.50041109</v>
      </c>
      <c r="F59" s="20" t="n">
        <v>2.44144934</v>
      </c>
      <c r="G59" s="18" t="n">
        <v>17.50088929</v>
      </c>
      <c r="H59" s="20" t="n">
        <v>2.02279293</v>
      </c>
      <c r="I59" s="18" t="s">
        <v>349</v>
      </c>
      <c r="J59" s="20" t="s">
        <v>349</v>
      </c>
      <c r="K59" s="18" t="n">
        <v>2.26009104</v>
      </c>
      <c r="L59" s="20" t="n">
        <v>0.7342441199999999</v>
      </c>
      <c r="M59" s="18" t="n">
        <v>0.32541101</v>
      </c>
      <c r="N59" s="20" t="n">
        <v>0.18568965</v>
      </c>
      <c r="O59" s="18" t="n">
        <v>0.9391697</v>
      </c>
      <c r="P59" s="20" t="n">
        <v>0.62488396</v>
      </c>
      <c r="Q59" s="18" t="n">
        <v>6.47402789</v>
      </c>
      <c r="R59" s="20" t="n">
        <v>1.28672515</v>
      </c>
    </row>
    <row r="60" spans="1:18">
      <c r="A60" s="15" t="s">
        <v>402</v>
      </c>
      <c r="B60" s="17" t="n">
        <v>2451</v>
      </c>
      <c r="C60" s="18">
        <f>(2037.0/B60*100)</f>
        <v/>
      </c>
      <c r="D60" s="19" t="n">
        <v>414</v>
      </c>
      <c r="E60" s="18" t="n">
        <v>54.25406431</v>
      </c>
      <c r="F60" s="20" t="n">
        <v>3.04681135</v>
      </c>
      <c r="G60" s="18" t="n">
        <v>16.06295498</v>
      </c>
      <c r="H60" s="20" t="n">
        <v>2.24868053</v>
      </c>
      <c r="I60" s="18" t="s">
        <v>349</v>
      </c>
      <c r="J60" s="20" t="s">
        <v>349</v>
      </c>
      <c r="K60" s="18" t="n">
        <v>9.61206451</v>
      </c>
      <c r="L60" s="20" t="n">
        <v>1.58895752</v>
      </c>
      <c r="M60" s="18" t="n">
        <v>0</v>
      </c>
      <c r="N60" s="20" t="n">
        <v>0</v>
      </c>
      <c r="O60" s="18" t="n">
        <v>3.56824209</v>
      </c>
      <c r="P60" s="20" t="n">
        <v>0.85462566</v>
      </c>
      <c r="Q60" s="18" t="n">
        <v>16.50267411</v>
      </c>
      <c r="R60" s="20" t="n">
        <v>2.06959217</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(2065.0/B63*100)</f>
        <v/>
      </c>
      <c r="D63" s="19" t="n">
        <v>446</v>
      </c>
      <c r="E63" s="18" t="n">
        <v>55.00960053</v>
      </c>
      <c r="F63" s="20" t="n">
        <v>2.44096746</v>
      </c>
      <c r="G63" s="18" t="n">
        <v>25.59168864</v>
      </c>
      <c r="H63" s="20" t="n">
        <v>2.48960268</v>
      </c>
      <c r="I63" s="18" t="s">
        <v>349</v>
      </c>
      <c r="J63" s="20" t="s">
        <v>349</v>
      </c>
      <c r="K63" s="18" t="n">
        <v>5.45726432</v>
      </c>
      <c r="L63" s="20" t="n">
        <v>1.14660719</v>
      </c>
      <c r="M63" s="18" t="n">
        <v>0</v>
      </c>
      <c r="N63" s="20" t="n">
        <v>0</v>
      </c>
      <c r="O63" s="18" t="n">
        <v>0.1295985</v>
      </c>
      <c r="P63" s="20" t="n">
        <v>0.13317958</v>
      </c>
      <c r="Q63" s="18" t="n">
        <v>13.81184801</v>
      </c>
      <c r="R63" s="20" t="n">
        <v>1.75452768</v>
      </c>
    </row>
    <row r="64" spans="1:18">
      <c r="A64" s="15" t="s">
        <v>406</v>
      </c>
      <c r="B64" s="17" t="n">
        <v>1790</v>
      </c>
      <c r="C64" s="18">
        <f>(1496.0/B64*100)</f>
        <v/>
      </c>
      <c r="D64" s="19" t="n">
        <v>294</v>
      </c>
      <c r="E64" s="18" t="n">
        <v>43.74572653</v>
      </c>
      <c r="F64" s="20" t="n">
        <v>2.83842093</v>
      </c>
      <c r="G64" s="18" t="n">
        <v>49.19038791</v>
      </c>
      <c r="H64" s="20" t="n">
        <v>2.85787797</v>
      </c>
      <c r="I64" s="18" t="s">
        <v>349</v>
      </c>
      <c r="J64" s="20" t="s">
        <v>349</v>
      </c>
      <c r="K64" s="18" t="n">
        <v>2.31391646</v>
      </c>
      <c r="L64" s="20" t="n">
        <v>0.93594862</v>
      </c>
      <c r="M64" s="18" t="n">
        <v>0</v>
      </c>
      <c r="N64" s="20" t="n">
        <v>0</v>
      </c>
      <c r="O64" s="18" t="n">
        <v>0.60131748</v>
      </c>
      <c r="P64" s="20" t="n">
        <v>0.42922046</v>
      </c>
      <c r="Q64" s="18" t="n">
        <v>4.14865163</v>
      </c>
      <c r="R64" s="20" t="n">
        <v>1.22447387</v>
      </c>
    </row>
    <row r="65" spans="1:18">
      <c r="A65" s="15" t="s">
        <v>407</v>
      </c>
      <c r="B65" s="17" t="n">
        <v>2634</v>
      </c>
      <c r="C65" s="18">
        <f>(2193.0/B65*100)</f>
        <v/>
      </c>
      <c r="D65" s="19" t="n">
        <v>441</v>
      </c>
      <c r="E65" s="18" t="n">
        <v>51.99495705</v>
      </c>
      <c r="F65" s="20" t="n">
        <v>2.45145787</v>
      </c>
      <c r="G65" s="18" t="n">
        <v>24.9882621</v>
      </c>
      <c r="H65" s="20" t="n">
        <v>2.27519654</v>
      </c>
      <c r="I65" s="18" t="s">
        <v>349</v>
      </c>
      <c r="J65" s="20" t="s">
        <v>349</v>
      </c>
      <c r="K65" s="18" t="n">
        <v>10.09787133</v>
      </c>
      <c r="L65" s="20" t="n">
        <v>1.5377028</v>
      </c>
      <c r="M65" s="18" t="n">
        <v>0.90764435</v>
      </c>
      <c r="N65" s="20" t="n">
        <v>0.40065893</v>
      </c>
      <c r="O65" s="18" t="n">
        <v>0</v>
      </c>
      <c r="P65" s="20" t="n">
        <v>0</v>
      </c>
      <c r="Q65" s="18" t="n">
        <v>12.01126517</v>
      </c>
      <c r="R65" s="20" t="n">
        <v>1.74584093</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(2054.0/B69*100)</f>
        <v/>
      </c>
      <c r="D69" s="19" t="n">
        <v>412</v>
      </c>
      <c r="E69" s="18" t="n">
        <v>69.99313641000001</v>
      </c>
      <c r="F69" s="20" t="n">
        <v>2.08554318</v>
      </c>
      <c r="G69" s="18" t="n">
        <v>28.19173039</v>
      </c>
      <c r="H69" s="20" t="n">
        <v>2.04535396</v>
      </c>
      <c r="I69" s="18" t="s">
        <v>349</v>
      </c>
      <c r="J69" s="20" t="s">
        <v>349</v>
      </c>
      <c r="K69" s="18" t="n">
        <v>0</v>
      </c>
      <c r="L69" s="20" t="n">
        <v>0</v>
      </c>
      <c r="M69" s="18" t="n">
        <v>0</v>
      </c>
      <c r="N69" s="20" t="n">
        <v>0</v>
      </c>
      <c r="O69" s="18" t="n">
        <v>0.41979027</v>
      </c>
      <c r="P69" s="20" t="n">
        <v>0.29840458</v>
      </c>
      <c r="Q69" s="18" t="n">
        <v>1.39534294</v>
      </c>
      <c r="R69" s="20" t="n">
        <v>0.5742318199999999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52.59133869</v>
      </c>
      <c r="F74" s="20" t="n">
        <v>2.16279833</v>
      </c>
      <c r="G74" s="18" t="n">
        <v>26.47611002</v>
      </c>
      <c r="H74" s="20" t="n">
        <v>1.73893183</v>
      </c>
      <c r="I74" s="18" t="s">
        <v>349</v>
      </c>
      <c r="J74" s="20" t="s">
        <v>349</v>
      </c>
      <c r="K74" s="18" t="n">
        <v>9.45962802</v>
      </c>
      <c r="L74" s="20" t="n">
        <v>1.49380275</v>
      </c>
      <c r="M74" s="18" t="n">
        <v>0</v>
      </c>
      <c r="N74" s="20" t="n">
        <v>0</v>
      </c>
      <c r="O74" s="18" t="n">
        <v>0.35450897</v>
      </c>
      <c r="P74" s="20" t="n">
        <v>0.2636196</v>
      </c>
      <c r="Q74" s="18" t="n">
        <v>11.1184143</v>
      </c>
      <c r="R74" s="20" t="n">
        <v>1.75018861</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(2539.0/B78*100)</f>
        <v/>
      </c>
      <c r="D78" s="19" t="n">
        <v>501</v>
      </c>
      <c r="E78" s="18" t="n">
        <v>12.23234829</v>
      </c>
      <c r="F78" s="20" t="n">
        <v>1.601933</v>
      </c>
      <c r="G78" s="18" t="n">
        <v>87.76765171</v>
      </c>
      <c r="H78" s="20" t="n">
        <v>1.601933</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(722.0/B79*100)</f>
        <v/>
      </c>
      <c r="D79" s="19" t="n">
        <v>148</v>
      </c>
      <c r="E79" s="18" t="n">
        <v>48.64490672</v>
      </c>
      <c r="F79" s="20" t="n">
        <v>3.34387816</v>
      </c>
      <c r="G79" s="18" t="n">
        <v>29.22889214</v>
      </c>
      <c r="H79" s="20" t="n">
        <v>3.355634</v>
      </c>
      <c r="I79" s="18" t="s">
        <v>349</v>
      </c>
      <c r="J79" s="20" t="s">
        <v>349</v>
      </c>
      <c r="K79" s="18" t="n">
        <v>10.21355001</v>
      </c>
      <c r="L79" s="20" t="n">
        <v>2.98207068</v>
      </c>
      <c r="M79" s="18" t="n">
        <v>0</v>
      </c>
      <c r="N79" s="20" t="n">
        <v>0</v>
      </c>
      <c r="O79" s="18" t="n">
        <v>0.74583447</v>
      </c>
      <c r="P79" s="20" t="n">
        <v>0.7431734800000001</v>
      </c>
      <c r="Q79" s="18" t="n">
        <v>11.16681665</v>
      </c>
      <c r="R79" s="20" t="n">
        <v>2.62873561</v>
      </c>
    </row>
    <row r="80" spans="1:18">
      <c r="A80" s="15" t="s">
        <v>422</v>
      </c>
      <c r="B80" s="17" t="n">
        <v>4043</v>
      </c>
      <c r="C80" s="18">
        <f>(3358.0/B80*100)</f>
        <v/>
      </c>
      <c r="D80" s="19" t="n">
        <v>685</v>
      </c>
      <c r="E80" s="18" t="n">
        <v>67.04712748</v>
      </c>
      <c r="F80" s="20" t="n">
        <v>2.96649677</v>
      </c>
      <c r="G80" s="18" t="n">
        <v>32.31688543</v>
      </c>
      <c r="H80" s="20" t="n">
        <v>2.94678772</v>
      </c>
      <c r="I80" s="18" t="s">
        <v>349</v>
      </c>
      <c r="J80" s="20" t="s">
        <v>349</v>
      </c>
      <c r="K80" s="18" t="n">
        <v>0</v>
      </c>
      <c r="L80" s="20" t="n">
        <v>0</v>
      </c>
      <c r="M80" s="18" t="n">
        <v>0</v>
      </c>
      <c r="N80" s="20" t="n">
        <v>0</v>
      </c>
      <c r="O80" s="18" t="n">
        <v>0</v>
      </c>
      <c r="P80" s="20" t="n">
        <v>0</v>
      </c>
      <c r="Q80" s="18" t="n">
        <v>0.63598709</v>
      </c>
      <c r="R80" s="20" t="n">
        <v>0.30056939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(2242.0/B44*100)</f>
        <v/>
      </c>
      <c r="D44" s="19" t="n">
        <v>449</v>
      </c>
      <c r="E44" s="18" t="n">
        <v>65.21467823</v>
      </c>
      <c r="F44" s="20" t="n">
        <v>2.56194798</v>
      </c>
      <c r="G44" s="18" t="n">
        <v>5.65122644</v>
      </c>
      <c r="H44" s="20" t="n">
        <v>1.13949101</v>
      </c>
      <c r="I44" s="18" t="s">
        <v>349</v>
      </c>
      <c r="J44" s="20" t="s">
        <v>349</v>
      </c>
      <c r="K44" s="18" t="n">
        <v>11.37262831</v>
      </c>
      <c r="L44" s="20" t="n">
        <v>1.61262532</v>
      </c>
      <c r="M44" s="18" t="n">
        <v>0</v>
      </c>
      <c r="N44" s="20" t="n">
        <v>0</v>
      </c>
      <c r="O44" s="18" t="n">
        <v>1.41495744</v>
      </c>
      <c r="P44" s="20" t="n">
        <v>0.65291683</v>
      </c>
      <c r="Q44" s="18" t="n">
        <v>16.34650958</v>
      </c>
      <c r="R44" s="20" t="n">
        <v>2.08457841</v>
      </c>
    </row>
    <row r="45" spans="1:18">
      <c r="A45" s="15" t="s">
        <v>387</v>
      </c>
      <c r="B45" s="17" t="n">
        <v>2670</v>
      </c>
      <c r="C45" s="18">
        <f>(2216.0/B45*100)</f>
        <v/>
      </c>
      <c r="D45" s="19" t="n">
        <v>454</v>
      </c>
      <c r="E45" s="18" t="n">
        <v>72.61645905</v>
      </c>
      <c r="F45" s="20" t="n">
        <v>2.30052139</v>
      </c>
      <c r="G45" s="18" t="n">
        <v>1.4343222</v>
      </c>
      <c r="H45" s="20" t="n">
        <v>0.6293572</v>
      </c>
      <c r="I45" s="18" t="s">
        <v>349</v>
      </c>
      <c r="J45" s="20" t="s">
        <v>349</v>
      </c>
      <c r="K45" s="18" t="n">
        <v>11.45610485</v>
      </c>
      <c r="L45" s="20" t="n">
        <v>1.58615319</v>
      </c>
      <c r="M45" s="18" t="n">
        <v>0.37628059</v>
      </c>
      <c r="N45" s="20" t="n">
        <v>0.28864963</v>
      </c>
      <c r="O45" s="18" t="n">
        <v>2.77694356</v>
      </c>
      <c r="P45" s="20" t="n">
        <v>0.77954238</v>
      </c>
      <c r="Q45" s="18" t="n">
        <v>11.33988975</v>
      </c>
      <c r="R45" s="20" t="n">
        <v>1.63549341</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(2795.0/B49*100)</f>
        <v/>
      </c>
      <c r="D49" s="19" t="n">
        <v>536</v>
      </c>
      <c r="E49" s="18" t="n">
        <v>71.59714361</v>
      </c>
      <c r="F49" s="20" t="n">
        <v>2.36251138</v>
      </c>
      <c r="G49" s="18" t="n">
        <v>2.94086891</v>
      </c>
      <c r="H49" s="20" t="n">
        <v>1.00534609</v>
      </c>
      <c r="I49" s="18" t="s">
        <v>349</v>
      </c>
      <c r="J49" s="20" t="s">
        <v>349</v>
      </c>
      <c r="K49" s="18" t="n">
        <v>9.203307519999999</v>
      </c>
      <c r="L49" s="20" t="n">
        <v>1.38188011</v>
      </c>
      <c r="M49" s="18" t="n">
        <v>0</v>
      </c>
      <c r="N49" s="20" t="n">
        <v>0</v>
      </c>
      <c r="O49" s="18" t="n">
        <v>2.34479996</v>
      </c>
      <c r="P49" s="20" t="n">
        <v>0.74269586</v>
      </c>
      <c r="Q49" s="18" t="n">
        <v>13.91388</v>
      </c>
      <c r="R49" s="20" t="n">
        <v>2.01527759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(2138.0/B55*100)</f>
        <v/>
      </c>
      <c r="D55" s="19" t="n">
        <v>419</v>
      </c>
      <c r="E55" s="18" t="n">
        <v>71.37647321999999</v>
      </c>
      <c r="F55" s="20" t="n">
        <v>1.97726761</v>
      </c>
      <c r="G55" s="18" t="n">
        <v>4.56670926</v>
      </c>
      <c r="H55" s="20" t="n">
        <v>1.13739346</v>
      </c>
      <c r="I55" s="18" t="s">
        <v>349</v>
      </c>
      <c r="J55" s="20" t="s">
        <v>349</v>
      </c>
      <c r="K55" s="18" t="n">
        <v>10.65019788</v>
      </c>
      <c r="L55" s="20" t="n">
        <v>1.60777538</v>
      </c>
      <c r="M55" s="18" t="n">
        <v>0</v>
      </c>
      <c r="N55" s="20" t="n">
        <v>0</v>
      </c>
      <c r="O55" s="18" t="n">
        <v>3.18115451</v>
      </c>
      <c r="P55" s="20" t="n">
        <v>0.93336413</v>
      </c>
      <c r="Q55" s="18" t="n">
        <v>10.22546513</v>
      </c>
      <c r="R55" s="20" t="n">
        <v>1.50803111</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(3106.0/B58*100)</f>
        <v/>
      </c>
      <c r="D58" s="19" t="n">
        <v>631</v>
      </c>
      <c r="E58" s="18" t="n">
        <v>78.99980442</v>
      </c>
      <c r="F58" s="20" t="n">
        <v>2.24480946</v>
      </c>
      <c r="G58" s="18" t="n">
        <v>4.75123794</v>
      </c>
      <c r="H58" s="20" t="n">
        <v>1.21552556</v>
      </c>
      <c r="I58" s="18" t="s">
        <v>349</v>
      </c>
      <c r="J58" s="20" t="s">
        <v>349</v>
      </c>
      <c r="K58" s="18" t="n">
        <v>4.17397123</v>
      </c>
      <c r="L58" s="20" t="n">
        <v>0.91490628</v>
      </c>
      <c r="M58" s="18" t="n">
        <v>0</v>
      </c>
      <c r="N58" s="20" t="n">
        <v>0</v>
      </c>
      <c r="O58" s="18" t="n">
        <v>4.41262247</v>
      </c>
      <c r="P58" s="20" t="n">
        <v>1.0442006</v>
      </c>
      <c r="Q58" s="18" t="n">
        <v>7.66236393</v>
      </c>
      <c r="R58" s="20" t="n">
        <v>1.59135785</v>
      </c>
    </row>
    <row r="59" spans="1:18">
      <c r="A59" s="15" t="s">
        <v>401</v>
      </c>
      <c r="B59" s="17" t="n">
        <v>2278</v>
      </c>
      <c r="C59" s="18">
        <f>(1910.0/B59*100)</f>
        <v/>
      </c>
      <c r="D59" s="19" t="n">
        <v>368</v>
      </c>
      <c r="E59" s="18" t="n">
        <v>80.51850129</v>
      </c>
      <c r="F59" s="20" t="n">
        <v>2.49174519</v>
      </c>
      <c r="G59" s="18" t="n">
        <v>1.7899545</v>
      </c>
      <c r="H59" s="20" t="n">
        <v>0.85162385</v>
      </c>
      <c r="I59" s="18" t="s">
        <v>349</v>
      </c>
      <c r="J59" s="20" t="s">
        <v>349</v>
      </c>
      <c r="K59" s="18" t="n">
        <v>7.82956565</v>
      </c>
      <c r="L59" s="20" t="n">
        <v>1.76722204</v>
      </c>
      <c r="M59" s="18" t="n">
        <v>1.23078027</v>
      </c>
      <c r="N59" s="20" t="n">
        <v>0.37927092</v>
      </c>
      <c r="O59" s="18" t="n">
        <v>0.37919431</v>
      </c>
      <c r="P59" s="20" t="n">
        <v>0.30375774</v>
      </c>
      <c r="Q59" s="18" t="n">
        <v>8.25200398</v>
      </c>
      <c r="R59" s="20" t="n">
        <v>1.53213981</v>
      </c>
    </row>
    <row r="60" spans="1:18">
      <c r="A60" s="15" t="s">
        <v>402</v>
      </c>
      <c r="B60" s="17" t="n">
        <v>2451</v>
      </c>
      <c r="C60" s="18">
        <f>(2037.0/B60*100)</f>
        <v/>
      </c>
      <c r="D60" s="19" t="n">
        <v>414</v>
      </c>
      <c r="E60" s="18" t="n">
        <v>59.45073114</v>
      </c>
      <c r="F60" s="20" t="n">
        <v>2.58804861</v>
      </c>
      <c r="G60" s="18" t="n">
        <v>4.85492919</v>
      </c>
      <c r="H60" s="20" t="n">
        <v>1.19856493</v>
      </c>
      <c r="I60" s="18" t="s">
        <v>349</v>
      </c>
      <c r="J60" s="20" t="s">
        <v>349</v>
      </c>
      <c r="K60" s="18" t="n">
        <v>14.80946729</v>
      </c>
      <c r="L60" s="20" t="n">
        <v>1.99718022</v>
      </c>
      <c r="M60" s="18" t="n">
        <v>0.42290026</v>
      </c>
      <c r="N60" s="20" t="n">
        <v>0.2480834</v>
      </c>
      <c r="O60" s="18" t="n">
        <v>1.57261509</v>
      </c>
      <c r="P60" s="20" t="n">
        <v>0.74553235</v>
      </c>
      <c r="Q60" s="18" t="n">
        <v>18.88935702</v>
      </c>
      <c r="R60" s="20" t="n">
        <v>2.03195364</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(2065.0/B63*100)</f>
        <v/>
      </c>
      <c r="D63" s="19" t="n">
        <v>446</v>
      </c>
      <c r="E63" s="18" t="n">
        <v>66.25188688</v>
      </c>
      <c r="F63" s="20" t="n">
        <v>2.69358459</v>
      </c>
      <c r="G63" s="18" t="n">
        <v>4.31798298</v>
      </c>
      <c r="H63" s="20" t="n">
        <v>1.0913299</v>
      </c>
      <c r="I63" s="18" t="s">
        <v>349</v>
      </c>
      <c r="J63" s="20" t="s">
        <v>349</v>
      </c>
      <c r="K63" s="18" t="n">
        <v>12.60280726</v>
      </c>
      <c r="L63" s="20" t="n">
        <v>1.61715803</v>
      </c>
      <c r="M63" s="18" t="n">
        <v>0</v>
      </c>
      <c r="N63" s="20" t="n">
        <v>0</v>
      </c>
      <c r="O63" s="18" t="n">
        <v>0.5365447</v>
      </c>
      <c r="P63" s="20" t="n">
        <v>0.26154836</v>
      </c>
      <c r="Q63" s="18" t="n">
        <v>16.29077818</v>
      </c>
      <c r="R63" s="20" t="n">
        <v>2.29718339</v>
      </c>
    </row>
    <row r="64" spans="1:18">
      <c r="A64" s="15" t="s">
        <v>406</v>
      </c>
      <c r="B64" s="17" t="n">
        <v>1790</v>
      </c>
      <c r="C64" s="18">
        <f>(1496.0/B64*100)</f>
        <v/>
      </c>
      <c r="D64" s="19" t="n">
        <v>294</v>
      </c>
      <c r="E64" s="18" t="n">
        <v>70.21442398000001</v>
      </c>
      <c r="F64" s="20" t="n">
        <v>2.88072635</v>
      </c>
      <c r="G64" s="18" t="n">
        <v>17.73199479</v>
      </c>
      <c r="H64" s="20" t="n">
        <v>2.31558561</v>
      </c>
      <c r="I64" s="18" t="s">
        <v>349</v>
      </c>
      <c r="J64" s="20" t="s">
        <v>349</v>
      </c>
      <c r="K64" s="18" t="n">
        <v>3.23349479</v>
      </c>
      <c r="L64" s="20" t="n">
        <v>1.14204935</v>
      </c>
      <c r="M64" s="18" t="n">
        <v>0</v>
      </c>
      <c r="N64" s="20" t="n">
        <v>0</v>
      </c>
      <c r="O64" s="18" t="n">
        <v>2.99539919</v>
      </c>
      <c r="P64" s="20" t="n">
        <v>1.03178345</v>
      </c>
      <c r="Q64" s="18" t="n">
        <v>5.82468725</v>
      </c>
      <c r="R64" s="20" t="n">
        <v>1.41550317</v>
      </c>
    </row>
    <row r="65" spans="1:18">
      <c r="A65" s="15" t="s">
        <v>407</v>
      </c>
      <c r="B65" s="17" t="n">
        <v>2634</v>
      </c>
      <c r="C65" s="18">
        <f>(2193.0/B65*100)</f>
        <v/>
      </c>
      <c r="D65" s="19" t="n">
        <v>441</v>
      </c>
      <c r="E65" s="18" t="n">
        <v>64.95749523000001</v>
      </c>
      <c r="F65" s="20" t="n">
        <v>2.84729745</v>
      </c>
      <c r="G65" s="18" t="n">
        <v>6.15284387</v>
      </c>
      <c r="H65" s="20" t="n">
        <v>1.14444907</v>
      </c>
      <c r="I65" s="18" t="s">
        <v>349</v>
      </c>
      <c r="J65" s="20" t="s">
        <v>349</v>
      </c>
      <c r="K65" s="18" t="n">
        <v>14.97739771</v>
      </c>
      <c r="L65" s="20" t="n">
        <v>1.8838652</v>
      </c>
      <c r="M65" s="18" t="n">
        <v>1.16573338</v>
      </c>
      <c r="N65" s="20" t="n">
        <v>0.47019681</v>
      </c>
      <c r="O65" s="18" t="n">
        <v>0.42974104</v>
      </c>
      <c r="P65" s="20" t="n">
        <v>0.30324123</v>
      </c>
      <c r="Q65" s="18" t="n">
        <v>12.31678876</v>
      </c>
      <c r="R65" s="20" t="n">
        <v>2.03455881</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(2054.0/B69*100)</f>
        <v/>
      </c>
      <c r="D69" s="19" t="n">
        <v>412</v>
      </c>
      <c r="E69" s="18" t="n">
        <v>91.15985876000001</v>
      </c>
      <c r="F69" s="20" t="n">
        <v>1.32450363</v>
      </c>
      <c r="G69" s="18" t="n">
        <v>3.90502202</v>
      </c>
      <c r="H69" s="20" t="n">
        <v>1.00315069</v>
      </c>
      <c r="I69" s="18" t="s">
        <v>349</v>
      </c>
      <c r="J69" s="20" t="s">
        <v>349</v>
      </c>
      <c r="K69" s="18" t="n">
        <v>0</v>
      </c>
      <c r="L69" s="20" t="n">
        <v>0</v>
      </c>
      <c r="M69" s="18" t="n">
        <v>0</v>
      </c>
      <c r="N69" s="20" t="n">
        <v>0</v>
      </c>
      <c r="O69" s="18" t="n">
        <v>0</v>
      </c>
      <c r="P69" s="20" t="n">
        <v>0</v>
      </c>
      <c r="Q69" s="18" t="n">
        <v>4.93511922</v>
      </c>
      <c r="R69" s="20" t="n">
        <v>1.09019587</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72.92835796</v>
      </c>
      <c r="F74" s="20" t="n">
        <v>2.19161614</v>
      </c>
      <c r="G74" s="18" t="n">
        <v>7.53846789</v>
      </c>
      <c r="H74" s="20" t="n">
        <v>1.586389</v>
      </c>
      <c r="I74" s="18" t="s">
        <v>349</v>
      </c>
      <c r="J74" s="20" t="s">
        <v>349</v>
      </c>
      <c r="K74" s="18" t="n">
        <v>10.39423991</v>
      </c>
      <c r="L74" s="20" t="n">
        <v>1.50809773</v>
      </c>
      <c r="M74" s="18" t="n">
        <v>0</v>
      </c>
      <c r="N74" s="20" t="n">
        <v>0</v>
      </c>
      <c r="O74" s="18" t="n">
        <v>1.46011477</v>
      </c>
      <c r="P74" s="20" t="n">
        <v>0.54004719</v>
      </c>
      <c r="Q74" s="18" t="n">
        <v>7.67881948</v>
      </c>
      <c r="R74" s="20" t="n">
        <v>1.3987379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(2539.0/B78*100)</f>
        <v/>
      </c>
      <c r="D78" s="19" t="n">
        <v>501</v>
      </c>
      <c r="E78" s="18" t="n">
        <v>83.74566280000001</v>
      </c>
      <c r="F78" s="20" t="n">
        <v>1.6536537</v>
      </c>
      <c r="G78" s="18" t="n">
        <v>13.98732956</v>
      </c>
      <c r="H78" s="20" t="n">
        <v>1.67173081</v>
      </c>
      <c r="I78" s="18" t="s">
        <v>349</v>
      </c>
      <c r="J78" s="20" t="s">
        <v>349</v>
      </c>
      <c r="K78" s="18" t="n">
        <v>0</v>
      </c>
      <c r="L78" s="20" t="n">
        <v>0</v>
      </c>
      <c r="M78" s="18" t="n">
        <v>0.19314046</v>
      </c>
      <c r="N78" s="20" t="n">
        <v>0.19343934</v>
      </c>
      <c r="O78" s="18" t="n">
        <v>1.64755424</v>
      </c>
      <c r="P78" s="20" t="n">
        <v>0.62960092</v>
      </c>
      <c r="Q78" s="18" t="n">
        <v>0.42631294</v>
      </c>
      <c r="R78" s="20" t="n">
        <v>0.246879</v>
      </c>
    </row>
    <row customHeight="1" ht="25" r="79" spans="1:18">
      <c r="A79" s="15" t="s">
        <v>421</v>
      </c>
      <c r="B79" s="17" t="n">
        <v>870</v>
      </c>
      <c r="C79" s="18">
        <f>(722.0/B79*100)</f>
        <v/>
      </c>
      <c r="D79" s="19" t="n">
        <v>148</v>
      </c>
      <c r="E79" s="18" t="n">
        <v>65.46362628999999</v>
      </c>
      <c r="F79" s="20" t="n">
        <v>4.73729982</v>
      </c>
      <c r="G79" s="18" t="n">
        <v>8.35599566</v>
      </c>
      <c r="H79" s="20" t="n">
        <v>2.60556144</v>
      </c>
      <c r="I79" s="18" t="s">
        <v>349</v>
      </c>
      <c r="J79" s="20" t="s">
        <v>349</v>
      </c>
      <c r="K79" s="18" t="n">
        <v>11.43942753</v>
      </c>
      <c r="L79" s="20" t="n">
        <v>3.26827926</v>
      </c>
      <c r="M79" s="18" t="n">
        <v>0</v>
      </c>
      <c r="N79" s="20" t="n">
        <v>0</v>
      </c>
      <c r="O79" s="18" t="n">
        <v>1.11925529</v>
      </c>
      <c r="P79" s="20" t="n">
        <v>0.7566157999999999</v>
      </c>
      <c r="Q79" s="18" t="n">
        <v>13.62169524</v>
      </c>
      <c r="R79" s="20" t="n">
        <v>2.8618826</v>
      </c>
    </row>
    <row r="80" spans="1:18">
      <c r="A80" s="15" t="s">
        <v>422</v>
      </c>
      <c r="B80" s="17" t="n">
        <v>4043</v>
      </c>
      <c r="C80" s="18">
        <f>(3358.0/B80*100)</f>
        <v/>
      </c>
      <c r="D80" s="19" t="n">
        <v>685</v>
      </c>
      <c r="E80" s="18" t="n">
        <v>84.57264834</v>
      </c>
      <c r="F80" s="20" t="n">
        <v>2.38263854</v>
      </c>
      <c r="G80" s="18" t="n">
        <v>14.01191411</v>
      </c>
      <c r="H80" s="20" t="n">
        <v>2.31613428</v>
      </c>
      <c r="I80" s="18" t="s">
        <v>349</v>
      </c>
      <c r="J80" s="20" t="s">
        <v>349</v>
      </c>
      <c r="K80" s="18" t="n">
        <v>0</v>
      </c>
      <c r="L80" s="20" t="n">
        <v>0</v>
      </c>
      <c r="M80" s="18" t="n">
        <v>0.01987471</v>
      </c>
      <c r="N80" s="20" t="n">
        <v>0.01144058</v>
      </c>
      <c r="O80" s="18" t="n">
        <v>0</v>
      </c>
      <c r="P80" s="20" t="n">
        <v>0</v>
      </c>
      <c r="Q80" s="18" t="n">
        <v>1.39556283</v>
      </c>
      <c r="R80" s="20" t="n">
        <v>0.43366209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(2242.0/B44*100)</f>
        <v/>
      </c>
      <c r="D44" s="19" t="n">
        <v>449</v>
      </c>
      <c r="E44" s="18" t="n">
        <v>44.70350047</v>
      </c>
      <c r="F44" s="20" t="n">
        <v>2.35344544</v>
      </c>
      <c r="G44" s="18" t="n">
        <v>20.81217804</v>
      </c>
      <c r="H44" s="20" t="n">
        <v>2.20754542</v>
      </c>
      <c r="I44" s="18" t="s">
        <v>349</v>
      </c>
      <c r="J44" s="20" t="s">
        <v>349</v>
      </c>
      <c r="K44" s="18" t="n">
        <v>15.03200092</v>
      </c>
      <c r="L44" s="20" t="n">
        <v>1.8231776</v>
      </c>
      <c r="M44" s="18" t="n">
        <v>0</v>
      </c>
      <c r="N44" s="20" t="n">
        <v>0</v>
      </c>
      <c r="O44" s="18" t="n">
        <v>0</v>
      </c>
      <c r="P44" s="20" t="n">
        <v>0</v>
      </c>
      <c r="Q44" s="18" t="n">
        <v>19.45232057</v>
      </c>
      <c r="R44" s="20" t="n">
        <v>1.9283249</v>
      </c>
    </row>
    <row r="45" spans="1:18">
      <c r="A45" s="15" t="s">
        <v>387</v>
      </c>
      <c r="B45" s="17" t="n">
        <v>2670</v>
      </c>
      <c r="C45" s="18">
        <f>(2216.0/B45*100)</f>
        <v/>
      </c>
      <c r="D45" s="19" t="n">
        <v>454</v>
      </c>
      <c r="E45" s="18" t="n">
        <v>52.81990101</v>
      </c>
      <c r="F45" s="20" t="n">
        <v>2.90852859</v>
      </c>
      <c r="G45" s="18" t="n">
        <v>5.08241844</v>
      </c>
      <c r="H45" s="20" t="n">
        <v>0.82044968</v>
      </c>
      <c r="I45" s="18" t="s">
        <v>349</v>
      </c>
      <c r="J45" s="20" t="s">
        <v>349</v>
      </c>
      <c r="K45" s="18" t="n">
        <v>18.43562465</v>
      </c>
      <c r="L45" s="20" t="n">
        <v>2.58308315</v>
      </c>
      <c r="M45" s="18" t="n">
        <v>1.49057378</v>
      </c>
      <c r="N45" s="20" t="n">
        <v>0.64655268</v>
      </c>
      <c r="O45" s="18" t="n">
        <v>0.28838151</v>
      </c>
      <c r="P45" s="20" t="n">
        <v>0.29697868</v>
      </c>
      <c r="Q45" s="18" t="n">
        <v>21.88310061</v>
      </c>
      <c r="R45" s="20" t="n">
        <v>2.21072773</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(2795.0/B49*100)</f>
        <v/>
      </c>
      <c r="D49" s="19" t="n">
        <v>536</v>
      </c>
      <c r="E49" s="18" t="n">
        <v>59.08250395</v>
      </c>
      <c r="F49" s="20" t="n">
        <v>2.28014222</v>
      </c>
      <c r="G49" s="18" t="n">
        <v>13.13142801</v>
      </c>
      <c r="H49" s="20" t="n">
        <v>1.5490226</v>
      </c>
      <c r="I49" s="18" t="s">
        <v>349</v>
      </c>
      <c r="J49" s="20" t="s">
        <v>349</v>
      </c>
      <c r="K49" s="18" t="n">
        <v>10.7655704</v>
      </c>
      <c r="L49" s="20" t="n">
        <v>1.42570863</v>
      </c>
      <c r="M49" s="18" t="n">
        <v>0</v>
      </c>
      <c r="N49" s="20" t="n">
        <v>0</v>
      </c>
      <c r="O49" s="18" t="n">
        <v>0</v>
      </c>
      <c r="P49" s="20" t="n">
        <v>0</v>
      </c>
      <c r="Q49" s="18" t="n">
        <v>17.02049764</v>
      </c>
      <c r="R49" s="20" t="n">
        <v>1.79806148</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(2138.0/B55*100)</f>
        <v/>
      </c>
      <c r="D55" s="19" t="n">
        <v>419</v>
      </c>
      <c r="E55" s="18" t="n">
        <v>44.74807514</v>
      </c>
      <c r="F55" s="20" t="n">
        <v>2.39524008</v>
      </c>
      <c r="G55" s="18" t="n">
        <v>11.88560895</v>
      </c>
      <c r="H55" s="20" t="n">
        <v>1.71939389</v>
      </c>
      <c r="I55" s="18" t="s">
        <v>349</v>
      </c>
      <c r="J55" s="20" t="s">
        <v>349</v>
      </c>
      <c r="K55" s="18" t="n">
        <v>17.38519264</v>
      </c>
      <c r="L55" s="20" t="n">
        <v>1.88250944</v>
      </c>
      <c r="M55" s="18" t="n">
        <v>0</v>
      </c>
      <c r="N55" s="20" t="n">
        <v>0</v>
      </c>
      <c r="O55" s="18" t="n">
        <v>0</v>
      </c>
      <c r="P55" s="20" t="n">
        <v>0</v>
      </c>
      <c r="Q55" s="18" t="n">
        <v>25.98112326</v>
      </c>
      <c r="R55" s="20" t="n">
        <v>2.16135814</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(2767.0/B57*100)</f>
        <v/>
      </c>
      <c r="D57" s="19" t="n">
        <v>576</v>
      </c>
      <c r="E57" s="18" t="n">
        <v>65.51885027</v>
      </c>
      <c r="F57" s="20" t="n">
        <v>2.00902146</v>
      </c>
      <c r="G57" s="18" t="n">
        <v>13.53335151</v>
      </c>
      <c r="H57" s="20" t="n">
        <v>1.33313888</v>
      </c>
      <c r="I57" s="18" t="s">
        <v>349</v>
      </c>
      <c r="J57" s="20" t="s">
        <v>349</v>
      </c>
      <c r="K57" s="18" t="n">
        <v>2.98770857</v>
      </c>
      <c r="L57" s="20" t="n">
        <v>0.73922028</v>
      </c>
      <c r="M57" s="18" t="n">
        <v>0</v>
      </c>
      <c r="N57" s="20" t="n">
        <v>0</v>
      </c>
      <c r="O57" s="18" t="n">
        <v>0</v>
      </c>
      <c r="P57" s="20" t="n">
        <v>0</v>
      </c>
      <c r="Q57" s="18" t="n">
        <v>17.96008965</v>
      </c>
      <c r="R57" s="20" t="n">
        <v>1.84208559</v>
      </c>
    </row>
    <row r="58" spans="1:18">
      <c r="A58" s="15" t="s">
        <v>400</v>
      </c>
      <c r="B58" s="17" t="n">
        <v>3737</v>
      </c>
      <c r="C58" s="18">
        <f>(3106.0/B58*100)</f>
        <v/>
      </c>
      <c r="D58" s="19" t="n">
        <v>631</v>
      </c>
      <c r="E58" s="18" t="n">
        <v>72.78591931</v>
      </c>
      <c r="F58" s="20" t="n">
        <v>2.36831169</v>
      </c>
      <c r="G58" s="18" t="n">
        <v>7.21564467</v>
      </c>
      <c r="H58" s="20" t="n">
        <v>1.55512505</v>
      </c>
      <c r="I58" s="18" t="s">
        <v>349</v>
      </c>
      <c r="J58" s="20" t="s">
        <v>349</v>
      </c>
      <c r="K58" s="18" t="n">
        <v>6.61431225</v>
      </c>
      <c r="L58" s="20" t="n">
        <v>1.29206007</v>
      </c>
      <c r="M58" s="18" t="n">
        <v>0</v>
      </c>
      <c r="N58" s="20" t="n">
        <v>0</v>
      </c>
      <c r="O58" s="18" t="n">
        <v>0</v>
      </c>
      <c r="P58" s="20" t="n">
        <v>0</v>
      </c>
      <c r="Q58" s="18" t="n">
        <v>13.38412377</v>
      </c>
      <c r="R58" s="20" t="n">
        <v>1.92380386</v>
      </c>
    </row>
    <row r="59" spans="1:18">
      <c r="A59" s="15" t="s">
        <v>401</v>
      </c>
      <c r="B59" s="17" t="n">
        <v>2278</v>
      </c>
      <c r="C59" s="18">
        <f>(1910.0/B59*100)</f>
        <v/>
      </c>
      <c r="D59" s="19" t="n">
        <v>368</v>
      </c>
      <c r="E59" s="18" t="n">
        <v>61.8624464</v>
      </c>
      <c r="F59" s="20" t="n">
        <v>2.90302698</v>
      </c>
      <c r="G59" s="18" t="n">
        <v>2.95460381</v>
      </c>
      <c r="H59" s="20" t="n">
        <v>1.05174174</v>
      </c>
      <c r="I59" s="18" t="s">
        <v>349</v>
      </c>
      <c r="J59" s="20" t="s">
        <v>349</v>
      </c>
      <c r="K59" s="18" t="n">
        <v>10.35034179</v>
      </c>
      <c r="L59" s="20" t="n">
        <v>1.91707082</v>
      </c>
      <c r="M59" s="18" t="n">
        <v>0</v>
      </c>
      <c r="N59" s="20" t="n">
        <v>0</v>
      </c>
      <c r="O59" s="18" t="n">
        <v>0</v>
      </c>
      <c r="P59" s="20" t="n">
        <v>0</v>
      </c>
      <c r="Q59" s="18" t="n">
        <v>24.83260801</v>
      </c>
      <c r="R59" s="20" t="n">
        <v>2.52907334</v>
      </c>
    </row>
    <row r="60" spans="1:18">
      <c r="A60" s="15" t="s">
        <v>402</v>
      </c>
      <c r="B60" s="17" t="n">
        <v>2451</v>
      </c>
      <c r="C60" s="18">
        <f>(2037.0/B60*100)</f>
        <v/>
      </c>
      <c r="D60" s="19" t="n">
        <v>414</v>
      </c>
      <c r="E60" s="18" t="n">
        <v>45.8426148</v>
      </c>
      <c r="F60" s="20" t="n">
        <v>2.66579969</v>
      </c>
      <c r="G60" s="18" t="n">
        <v>10.76388708</v>
      </c>
      <c r="H60" s="20" t="n">
        <v>1.60989044</v>
      </c>
      <c r="I60" s="18" t="s">
        <v>349</v>
      </c>
      <c r="J60" s="20" t="s">
        <v>349</v>
      </c>
      <c r="K60" s="18" t="n">
        <v>20.24321895</v>
      </c>
      <c r="L60" s="20" t="n">
        <v>2.22742281</v>
      </c>
      <c r="M60" s="18" t="n">
        <v>0</v>
      </c>
      <c r="N60" s="20" t="n">
        <v>0</v>
      </c>
      <c r="O60" s="18" t="n">
        <v>0.34879271</v>
      </c>
      <c r="P60" s="20" t="n">
        <v>0.24824505</v>
      </c>
      <c r="Q60" s="18" t="n">
        <v>22.80148646</v>
      </c>
      <c r="R60" s="20" t="n">
        <v>2.48201744</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(2065.0/B63*100)</f>
        <v/>
      </c>
      <c r="D63" s="19" t="n">
        <v>446</v>
      </c>
      <c r="E63" s="18" t="n">
        <v>44.95502251</v>
      </c>
      <c r="F63" s="20" t="n">
        <v>2.6443923</v>
      </c>
      <c r="G63" s="18" t="n">
        <v>9.383695790000001</v>
      </c>
      <c r="H63" s="20" t="n">
        <v>1.65028946</v>
      </c>
      <c r="I63" s="18" t="s">
        <v>349</v>
      </c>
      <c r="J63" s="20" t="s">
        <v>349</v>
      </c>
      <c r="K63" s="18" t="n">
        <v>14.67831273</v>
      </c>
      <c r="L63" s="20" t="n">
        <v>1.72422782</v>
      </c>
      <c r="M63" s="18" t="n">
        <v>0</v>
      </c>
      <c r="N63" s="20" t="n">
        <v>0</v>
      </c>
      <c r="O63" s="18" t="n">
        <v>0</v>
      </c>
      <c r="P63" s="20" t="n">
        <v>0</v>
      </c>
      <c r="Q63" s="18" t="n">
        <v>30.98296896</v>
      </c>
      <c r="R63" s="20" t="n">
        <v>2.1163212</v>
      </c>
    </row>
    <row r="64" spans="1:18">
      <c r="A64" s="15" t="s">
        <v>406</v>
      </c>
      <c r="B64" s="17" t="n">
        <v>1790</v>
      </c>
      <c r="C64" s="18">
        <f>(1496.0/B64*100)</f>
        <v/>
      </c>
      <c r="D64" s="19" t="n">
        <v>294</v>
      </c>
      <c r="E64" s="18" t="n">
        <v>54.9221081</v>
      </c>
      <c r="F64" s="20" t="n">
        <v>2.65751002</v>
      </c>
      <c r="G64" s="18" t="n">
        <v>30.26925109</v>
      </c>
      <c r="H64" s="20" t="n">
        <v>2.45033006</v>
      </c>
      <c r="I64" s="18" t="s">
        <v>349</v>
      </c>
      <c r="J64" s="20" t="s">
        <v>349</v>
      </c>
      <c r="K64" s="18" t="n">
        <v>4.01093176</v>
      </c>
      <c r="L64" s="20" t="n">
        <v>1.27548911</v>
      </c>
      <c r="M64" s="18" t="n">
        <v>0</v>
      </c>
      <c r="N64" s="20" t="n">
        <v>0</v>
      </c>
      <c r="O64" s="18" t="n">
        <v>0</v>
      </c>
      <c r="P64" s="20" t="n">
        <v>0</v>
      </c>
      <c r="Q64" s="18" t="n">
        <v>10.79770905</v>
      </c>
      <c r="R64" s="20" t="n">
        <v>1.71255903</v>
      </c>
    </row>
    <row r="65" spans="1:18">
      <c r="A65" s="15" t="s">
        <v>407</v>
      </c>
      <c r="B65" s="17" t="n">
        <v>2634</v>
      </c>
      <c r="C65" s="18">
        <f>(2193.0/B65*100)</f>
        <v/>
      </c>
      <c r="D65" s="19" t="n">
        <v>441</v>
      </c>
      <c r="E65" s="18" t="n">
        <v>45.71450969</v>
      </c>
      <c r="F65" s="20" t="n">
        <v>2.42471608</v>
      </c>
      <c r="G65" s="18" t="n">
        <v>14.4584622</v>
      </c>
      <c r="H65" s="20" t="n">
        <v>1.69294707</v>
      </c>
      <c r="I65" s="18" t="s">
        <v>349</v>
      </c>
      <c r="J65" s="20" t="s">
        <v>349</v>
      </c>
      <c r="K65" s="18" t="n">
        <v>18.00538151</v>
      </c>
      <c r="L65" s="20" t="n">
        <v>1.89515129</v>
      </c>
      <c r="M65" s="18" t="n">
        <v>0</v>
      </c>
      <c r="N65" s="20" t="n">
        <v>0</v>
      </c>
      <c r="O65" s="18" t="n">
        <v>0.18392608</v>
      </c>
      <c r="P65" s="20" t="n">
        <v>0.18311708</v>
      </c>
      <c r="Q65" s="18" t="n">
        <v>21.63772051</v>
      </c>
      <c r="R65" s="20" t="n">
        <v>2.27426068</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(2054.0/B69*100)</f>
        <v/>
      </c>
      <c r="D69" s="19" t="n">
        <v>412</v>
      </c>
      <c r="E69" s="18" t="n">
        <v>66.73075442</v>
      </c>
      <c r="F69" s="20" t="n">
        <v>2.49380396</v>
      </c>
      <c r="G69" s="18" t="n">
        <v>33.26924558</v>
      </c>
      <c r="H69" s="20" t="n">
        <v>2.49380396</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52.08607108</v>
      </c>
      <c r="F74" s="20" t="n">
        <v>2.88273496</v>
      </c>
      <c r="G74" s="18" t="n">
        <v>16.45935028</v>
      </c>
      <c r="H74" s="20" t="n">
        <v>2.21124285</v>
      </c>
      <c r="I74" s="18" t="s">
        <v>349</v>
      </c>
      <c r="J74" s="20" t="s">
        <v>349</v>
      </c>
      <c r="K74" s="18" t="n">
        <v>13.17406109</v>
      </c>
      <c r="L74" s="20" t="n">
        <v>1.66586253</v>
      </c>
      <c r="M74" s="18" t="n">
        <v>0</v>
      </c>
      <c r="N74" s="20" t="n">
        <v>0</v>
      </c>
      <c r="O74" s="18" t="n">
        <v>0</v>
      </c>
      <c r="P74" s="20" t="n">
        <v>0</v>
      </c>
      <c r="Q74" s="18" t="n">
        <v>18.28051755</v>
      </c>
      <c r="R74" s="20" t="n">
        <v>1.88897839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(2539.0/B78*100)</f>
        <v/>
      </c>
      <c r="D78" s="19" t="n">
        <v>501</v>
      </c>
      <c r="E78" s="18" t="n">
        <v>65.05592676000001</v>
      </c>
      <c r="F78" s="20" t="n">
        <v>2.91262162</v>
      </c>
      <c r="G78" s="18" t="n">
        <v>30.13056605</v>
      </c>
      <c r="H78" s="20" t="n">
        <v>2.69086175</v>
      </c>
      <c r="I78" s="18" t="s">
        <v>349</v>
      </c>
      <c r="J78" s="20" t="s">
        <v>349</v>
      </c>
      <c r="K78" s="18" t="n">
        <v>0.28735972</v>
      </c>
      <c r="L78" s="20" t="n">
        <v>0.17620722</v>
      </c>
      <c r="M78" s="18" t="n">
        <v>0</v>
      </c>
      <c r="N78" s="20" t="n">
        <v>0</v>
      </c>
      <c r="O78" s="18" t="n">
        <v>0</v>
      </c>
      <c r="P78" s="20" t="n">
        <v>0</v>
      </c>
      <c r="Q78" s="18" t="n">
        <v>4.52614747</v>
      </c>
      <c r="R78" s="20" t="n">
        <v>0.85926873</v>
      </c>
    </row>
    <row customHeight="1" ht="25" r="79" spans="1:18">
      <c r="A79" s="15" t="s">
        <v>421</v>
      </c>
      <c r="B79" s="17" t="n">
        <v>870</v>
      </c>
      <c r="C79" s="18">
        <f>(722.0/B79*100)</f>
        <v/>
      </c>
      <c r="D79" s="19" t="n">
        <v>148</v>
      </c>
      <c r="E79" s="18" t="n">
        <v>54.65064855</v>
      </c>
      <c r="F79" s="20" t="n">
        <v>4.14173546</v>
      </c>
      <c r="G79" s="18" t="n">
        <v>21.7307346</v>
      </c>
      <c r="H79" s="20" t="n">
        <v>3.20322435</v>
      </c>
      <c r="I79" s="18" t="s">
        <v>349</v>
      </c>
      <c r="J79" s="20" t="s">
        <v>349</v>
      </c>
      <c r="K79" s="18" t="n">
        <v>13.8876088</v>
      </c>
      <c r="L79" s="20" t="n">
        <v>3.17540658</v>
      </c>
      <c r="M79" s="18" t="n">
        <v>0</v>
      </c>
      <c r="N79" s="20" t="n">
        <v>0</v>
      </c>
      <c r="O79" s="18" t="n">
        <v>0</v>
      </c>
      <c r="P79" s="20" t="n">
        <v>0</v>
      </c>
      <c r="Q79" s="18" t="n">
        <v>9.73100805</v>
      </c>
      <c r="R79" s="20" t="n">
        <v>2.39729394</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331</v>
      </c>
    </row>
    <row r="2" spans="1:26">
      <c r="A2" s="5" t="s">
        <v>544</v>
      </c>
    </row>
    <row customHeight="1" ht="30" r="4" spans="1:26">
      <c r="A4" s="6" t="n"/>
      <c r="B4" s="7" t="s">
        <v>333</v>
      </c>
      <c r="C4" s="7" t="s">
        <v>334</v>
      </c>
      <c r="D4" s="8" t="s">
        <v>333</v>
      </c>
      <c r="E4" s="9" t="s">
        <v>455</v>
      </c>
      <c r="F4" s="10" t="n"/>
      <c r="G4" s="9" t="s">
        <v>456</v>
      </c>
      <c r="H4" s="10" t="n"/>
      <c r="I4" s="9" t="s">
        <v>536</v>
      </c>
      <c r="J4" s="10" t="n"/>
      <c r="K4" s="9" t="s">
        <v>441</v>
      </c>
      <c r="L4" s="10" t="n"/>
      <c r="M4" s="9" t="s">
        <v>442</v>
      </c>
      <c r="N4" s="10" t="n"/>
      <c r="O4" s="9" t="s">
        <v>444</v>
      </c>
      <c r="P4" s="10" t="n"/>
      <c r="Q4" s="9" t="s">
        <v>337</v>
      </c>
      <c r="R4" s="10" t="n"/>
      <c r="S4" s="9" t="s">
        <v>338</v>
      </c>
      <c r="T4" s="10" t="n"/>
      <c r="U4" s="9" t="s">
        <v>339</v>
      </c>
      <c r="V4" s="10" t="n"/>
      <c r="W4" s="9" t="s">
        <v>340</v>
      </c>
      <c r="X4" s="10" t="n"/>
      <c r="Y4" s="9" t="s">
        <v>341</v>
      </c>
      <c r="Z4" s="10" t="n"/>
    </row>
    <row r="5" spans="1:26">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c r="Y5" s="12" t="s">
        <v>345</v>
      </c>
      <c r="Z5" s="11" t="s">
        <v>346</v>
      </c>
    </row>
    <row r="6" spans="1:26">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c r="U7" s="18" t="s">
        <v>349</v>
      </c>
      <c r="V7" s="20" t="s">
        <v>349</v>
      </c>
      <c r="W7" s="18" t="s">
        <v>349</v>
      </c>
      <c r="X7" s="20" t="s">
        <v>349</v>
      </c>
      <c r="Y7" s="18" t="s">
        <v>349</v>
      </c>
      <c r="Z7" s="20" t="s">
        <v>349</v>
      </c>
    </row>
    <row r="8" spans="1:26">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c r="U8" s="18" t="s">
        <v>349</v>
      </c>
      <c r="V8" s="20" t="s">
        <v>349</v>
      </c>
      <c r="W8" s="18" t="s">
        <v>349</v>
      </c>
      <c r="X8" s="20" t="s">
        <v>349</v>
      </c>
      <c r="Y8" s="18" t="s">
        <v>349</v>
      </c>
      <c r="Z8" s="20" t="s">
        <v>349</v>
      </c>
    </row>
    <row r="9" spans="1:26">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c r="U9" s="18" t="s">
        <v>349</v>
      </c>
      <c r="V9" s="20" t="s">
        <v>349</v>
      </c>
      <c r="W9" s="18" t="s">
        <v>349</v>
      </c>
      <c r="X9" s="20" t="s">
        <v>349</v>
      </c>
      <c r="Y9" s="18" t="s">
        <v>349</v>
      </c>
      <c r="Z9" s="20" t="s">
        <v>349</v>
      </c>
    </row>
    <row r="10" spans="1:26">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c r="U10" s="18" t="s">
        <v>349</v>
      </c>
      <c r="V10" s="20" t="s">
        <v>349</v>
      </c>
      <c r="W10" s="18" t="s">
        <v>349</v>
      </c>
      <c r="X10" s="20" t="s">
        <v>349</v>
      </c>
      <c r="Y10" s="18" t="s">
        <v>349</v>
      </c>
      <c r="Z10" s="20" t="s">
        <v>349</v>
      </c>
    </row>
    <row r="11" spans="1:26">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c r="W11" s="18" t="s">
        <v>349</v>
      </c>
      <c r="X11" s="20" t="s">
        <v>349</v>
      </c>
      <c r="Y11" s="18" t="s">
        <v>349</v>
      </c>
      <c r="Z11" s="20" t="s">
        <v>349</v>
      </c>
    </row>
    <row r="12" spans="1:26">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c r="U12" s="18" t="s">
        <v>349</v>
      </c>
      <c r="V12" s="20" t="s">
        <v>349</v>
      </c>
      <c r="W12" s="18" t="s">
        <v>349</v>
      </c>
      <c r="X12" s="20" t="s">
        <v>349</v>
      </c>
      <c r="Y12" s="18" t="s">
        <v>349</v>
      </c>
      <c r="Z12" s="20" t="s">
        <v>349</v>
      </c>
    </row>
    <row r="13" spans="1:26">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c r="U13" s="18" t="s">
        <v>349</v>
      </c>
      <c r="V13" s="20" t="s">
        <v>349</v>
      </c>
      <c r="W13" s="18" t="s">
        <v>349</v>
      </c>
      <c r="X13" s="20" t="s">
        <v>349</v>
      </c>
      <c r="Y13" s="18" t="s">
        <v>349</v>
      </c>
      <c r="Z13" s="20" t="s">
        <v>349</v>
      </c>
    </row>
    <row r="14" spans="1:26">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c r="U14" s="18" t="s">
        <v>349</v>
      </c>
      <c r="V14" s="20" t="s">
        <v>349</v>
      </c>
      <c r="W14" s="18" t="s">
        <v>349</v>
      </c>
      <c r="X14" s="20" t="s">
        <v>349</v>
      </c>
      <c r="Y14" s="18" t="s">
        <v>349</v>
      </c>
      <c r="Z14" s="20" t="s">
        <v>349</v>
      </c>
    </row>
    <row r="15" spans="1:26">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c r="U15" s="18" t="s">
        <v>349</v>
      </c>
      <c r="V15" s="20" t="s">
        <v>349</v>
      </c>
      <c r="W15" s="18" t="s">
        <v>349</v>
      </c>
      <c r="X15" s="20" t="s">
        <v>349</v>
      </c>
      <c r="Y15" s="18" t="s">
        <v>349</v>
      </c>
      <c r="Z15" s="20" t="s">
        <v>349</v>
      </c>
    </row>
    <row r="16" spans="1:26">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c r="U16" s="18" t="s">
        <v>349</v>
      </c>
      <c r="V16" s="20" t="s">
        <v>349</v>
      </c>
      <c r="W16" s="18" t="s">
        <v>349</v>
      </c>
      <c r="X16" s="20" t="s">
        <v>349</v>
      </c>
      <c r="Y16" s="18" t="s">
        <v>349</v>
      </c>
      <c r="Z16" s="20" t="s">
        <v>349</v>
      </c>
    </row>
    <row r="17" spans="1:26">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c r="U17" s="18" t="s">
        <v>349</v>
      </c>
      <c r="V17" s="20" t="s">
        <v>349</v>
      </c>
      <c r="W17" s="18" t="s">
        <v>349</v>
      </c>
      <c r="X17" s="20" t="s">
        <v>349</v>
      </c>
      <c r="Y17" s="18" t="s">
        <v>349</v>
      </c>
      <c r="Z17" s="20" t="s">
        <v>349</v>
      </c>
    </row>
    <row r="18" spans="1:26">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c r="U18" s="18" t="s">
        <v>349</v>
      </c>
      <c r="V18" s="20" t="s">
        <v>349</v>
      </c>
      <c r="W18" s="18" t="s">
        <v>349</v>
      </c>
      <c r="X18" s="20" t="s">
        <v>349</v>
      </c>
      <c r="Y18" s="18" t="s">
        <v>349</v>
      </c>
      <c r="Z18" s="20" t="s">
        <v>349</v>
      </c>
    </row>
    <row r="19" spans="1:26">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c r="U19" s="18" t="s">
        <v>349</v>
      </c>
      <c r="V19" s="20" t="s">
        <v>349</v>
      </c>
      <c r="W19" s="18" t="s">
        <v>349</v>
      </c>
      <c r="X19" s="20" t="s">
        <v>349</v>
      </c>
      <c r="Y19" s="18" t="s">
        <v>349</v>
      </c>
      <c r="Z19" s="20" t="s">
        <v>349</v>
      </c>
    </row>
    <row r="20" spans="1:26">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c r="U20" s="18" t="s">
        <v>349</v>
      </c>
      <c r="V20" s="20" t="s">
        <v>349</v>
      </c>
      <c r="W20" s="18" t="s">
        <v>349</v>
      </c>
      <c r="X20" s="20" t="s">
        <v>349</v>
      </c>
      <c r="Y20" s="18" t="s">
        <v>349</v>
      </c>
      <c r="Z20" s="20" t="s">
        <v>349</v>
      </c>
    </row>
    <row r="21" spans="1:26">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c r="U21" s="18" t="s">
        <v>349</v>
      </c>
      <c r="V21" s="20" t="s">
        <v>349</v>
      </c>
      <c r="W21" s="18" t="s">
        <v>349</v>
      </c>
      <c r="X21" s="20" t="s">
        <v>349</v>
      </c>
      <c r="Y21" s="18" t="s">
        <v>349</v>
      </c>
      <c r="Z21" s="20" t="s">
        <v>349</v>
      </c>
    </row>
    <row r="22" spans="1:26">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c r="U22" s="18" t="s">
        <v>349</v>
      </c>
      <c r="V22" s="20" t="s">
        <v>349</v>
      </c>
      <c r="W22" s="18" t="s">
        <v>349</v>
      </c>
      <c r="X22" s="20" t="s">
        <v>349</v>
      </c>
      <c r="Y22" s="18" t="s">
        <v>349</v>
      </c>
      <c r="Z22" s="20" t="s">
        <v>349</v>
      </c>
    </row>
    <row r="23" spans="1:26">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c r="U23" s="18" t="s">
        <v>349</v>
      </c>
      <c r="V23" s="20" t="s">
        <v>349</v>
      </c>
      <c r="W23" s="18" t="s">
        <v>349</v>
      </c>
      <c r="X23" s="20" t="s">
        <v>349</v>
      </c>
      <c r="Y23" s="18" t="s">
        <v>349</v>
      </c>
      <c r="Z23" s="20" t="s">
        <v>349</v>
      </c>
    </row>
    <row r="24" spans="1:26">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c r="U24" s="18" t="s">
        <v>349</v>
      </c>
      <c r="V24" s="20" t="s">
        <v>349</v>
      </c>
      <c r="W24" s="18" t="s">
        <v>349</v>
      </c>
      <c r="X24" s="20" t="s">
        <v>349</v>
      </c>
      <c r="Y24" s="18" t="s">
        <v>349</v>
      </c>
      <c r="Z24" s="20" t="s">
        <v>349</v>
      </c>
    </row>
    <row r="25" spans="1:26">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c r="U25" s="18" t="s">
        <v>349</v>
      </c>
      <c r="V25" s="20" t="s">
        <v>349</v>
      </c>
      <c r="W25" s="18" t="s">
        <v>349</v>
      </c>
      <c r="X25" s="20" t="s">
        <v>349</v>
      </c>
      <c r="Y25" s="18" t="s">
        <v>349</v>
      </c>
      <c r="Z25" s="20" t="s">
        <v>349</v>
      </c>
    </row>
    <row r="26" spans="1:26">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c r="U26" s="18" t="s">
        <v>349</v>
      </c>
      <c r="V26" s="20" t="s">
        <v>349</v>
      </c>
      <c r="W26" s="18" t="s">
        <v>349</v>
      </c>
      <c r="X26" s="20" t="s">
        <v>349</v>
      </c>
      <c r="Y26" s="18" t="s">
        <v>349</v>
      </c>
      <c r="Z26" s="20" t="s">
        <v>349</v>
      </c>
    </row>
    <row r="27" spans="1:26">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c r="U27" s="18" t="s">
        <v>349</v>
      </c>
      <c r="V27" s="20" t="s">
        <v>349</v>
      </c>
      <c r="W27" s="18" t="s">
        <v>349</v>
      </c>
      <c r="X27" s="20" t="s">
        <v>349</v>
      </c>
      <c r="Y27" s="18" t="s">
        <v>349</v>
      </c>
      <c r="Z27" s="20" t="s">
        <v>349</v>
      </c>
    </row>
    <row r="28" spans="1:26">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c r="W28" s="18" t="s">
        <v>349</v>
      </c>
      <c r="X28" s="20" t="s">
        <v>349</v>
      </c>
      <c r="Y28" s="18" t="s">
        <v>349</v>
      </c>
      <c r="Z28" s="20" t="s">
        <v>349</v>
      </c>
    </row>
    <row r="29" spans="1:26">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c r="U29" s="18" t="s">
        <v>349</v>
      </c>
      <c r="V29" s="20" t="s">
        <v>349</v>
      </c>
      <c r="W29" s="18" t="s">
        <v>349</v>
      </c>
      <c r="X29" s="20" t="s">
        <v>349</v>
      </c>
      <c r="Y29" s="18" t="s">
        <v>349</v>
      </c>
      <c r="Z29" s="20" t="s">
        <v>349</v>
      </c>
    </row>
    <row r="30" spans="1:26">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c r="U30" s="18" t="s">
        <v>349</v>
      </c>
      <c r="V30" s="20" t="s">
        <v>349</v>
      </c>
      <c r="W30" s="18" t="s">
        <v>349</v>
      </c>
      <c r="X30" s="20" t="s">
        <v>349</v>
      </c>
      <c r="Y30" s="18" t="s">
        <v>349</v>
      </c>
      <c r="Z30" s="20" t="s">
        <v>349</v>
      </c>
    </row>
    <row r="31" spans="1:26">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c r="U31" s="18" t="s">
        <v>349</v>
      </c>
      <c r="V31" s="20" t="s">
        <v>349</v>
      </c>
      <c r="W31" s="18" t="s">
        <v>349</v>
      </c>
      <c r="X31" s="20" t="s">
        <v>349</v>
      </c>
      <c r="Y31" s="18" t="s">
        <v>349</v>
      </c>
      <c r="Z31" s="20" t="s">
        <v>349</v>
      </c>
    </row>
    <row r="32" spans="1:26">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c r="U32" s="18" t="s">
        <v>349</v>
      </c>
      <c r="V32" s="20" t="s">
        <v>349</v>
      </c>
      <c r="W32" s="18" t="s">
        <v>349</v>
      </c>
      <c r="X32" s="20" t="s">
        <v>349</v>
      </c>
      <c r="Y32" s="18" t="s">
        <v>349</v>
      </c>
      <c r="Z32" s="20" t="s">
        <v>349</v>
      </c>
    </row>
    <row r="33" spans="1:26">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c r="U33" s="18" t="s">
        <v>349</v>
      </c>
      <c r="V33" s="20" t="s">
        <v>349</v>
      </c>
      <c r="W33" s="18" t="s">
        <v>349</v>
      </c>
      <c r="X33" s="20" t="s">
        <v>349</v>
      </c>
      <c r="Y33" s="18" t="s">
        <v>349</v>
      </c>
      <c r="Z33" s="20" t="s">
        <v>349</v>
      </c>
    </row>
    <row r="34" spans="1:26">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c r="U34" s="18" t="s">
        <v>349</v>
      </c>
      <c r="V34" s="20" t="s">
        <v>349</v>
      </c>
      <c r="W34" s="18" t="s">
        <v>349</v>
      </c>
      <c r="X34" s="20" t="s">
        <v>349</v>
      </c>
      <c r="Y34" s="18" t="s">
        <v>349</v>
      </c>
      <c r="Z34" s="20" t="s">
        <v>349</v>
      </c>
    </row>
    <row r="35" spans="1:26">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c r="U35" s="18" t="s">
        <v>349</v>
      </c>
      <c r="V35" s="20" t="s">
        <v>349</v>
      </c>
      <c r="W35" s="18" t="s">
        <v>349</v>
      </c>
      <c r="X35" s="20" t="s">
        <v>349</v>
      </c>
      <c r="Y35" s="18" t="s">
        <v>349</v>
      </c>
      <c r="Z35" s="20" t="s">
        <v>349</v>
      </c>
    </row>
    <row r="36" spans="1:26">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c r="U36" s="18" t="s">
        <v>349</v>
      </c>
      <c r="V36" s="20" t="s">
        <v>349</v>
      </c>
      <c r="W36" s="18" t="s">
        <v>349</v>
      </c>
      <c r="X36" s="20" t="s">
        <v>349</v>
      </c>
      <c r="Y36" s="18" t="s">
        <v>349</v>
      </c>
      <c r="Z36" s="20" t="s">
        <v>349</v>
      </c>
    </row>
    <row r="37" spans="1:26">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c r="U37" s="18" t="s">
        <v>349</v>
      </c>
      <c r="V37" s="20" t="s">
        <v>349</v>
      </c>
      <c r="W37" s="18" t="s">
        <v>349</v>
      </c>
      <c r="X37" s="20" t="s">
        <v>349</v>
      </c>
      <c r="Y37" s="18" t="s">
        <v>349</v>
      </c>
      <c r="Z37" s="20" t="s">
        <v>349</v>
      </c>
    </row>
    <row r="38" spans="1:26">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c r="U38" s="18" t="s">
        <v>349</v>
      </c>
      <c r="V38" s="20" t="s">
        <v>349</v>
      </c>
      <c r="W38" s="18" t="s">
        <v>349</v>
      </c>
      <c r="X38" s="20" t="s">
        <v>349</v>
      </c>
      <c r="Y38" s="18" t="s">
        <v>349</v>
      </c>
      <c r="Z38" s="20" t="s">
        <v>349</v>
      </c>
    </row>
    <row r="39" spans="1:26">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c r="U39" s="18" t="s">
        <v>349</v>
      </c>
      <c r="V39" s="20" t="s">
        <v>349</v>
      </c>
      <c r="W39" s="18" t="s">
        <v>349</v>
      </c>
      <c r="X39" s="20" t="s">
        <v>349</v>
      </c>
      <c r="Y39" s="18" t="s">
        <v>349</v>
      </c>
      <c r="Z39" s="20" t="s">
        <v>349</v>
      </c>
    </row>
    <row r="40" spans="1:26">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c r="U40" s="18" t="s">
        <v>349</v>
      </c>
      <c r="V40" s="20" t="s">
        <v>349</v>
      </c>
      <c r="W40" s="18" t="s">
        <v>349</v>
      </c>
      <c r="X40" s="20" t="s">
        <v>349</v>
      </c>
      <c r="Y40" s="18" t="s">
        <v>349</v>
      </c>
      <c r="Z40" s="20" t="s">
        <v>349</v>
      </c>
    </row>
    <row r="41" spans="1:26">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c r="U41" s="18" t="s">
        <v>349</v>
      </c>
      <c r="V41" s="20" t="s">
        <v>349</v>
      </c>
      <c r="W41" s="18" t="s">
        <v>349</v>
      </c>
      <c r="X41" s="20" t="s">
        <v>349</v>
      </c>
      <c r="Y41" s="18" t="s">
        <v>349</v>
      </c>
      <c r="Z41" s="20" t="s">
        <v>349</v>
      </c>
    </row>
    <row r="42" spans="1:26">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386</v>
      </c>
      <c r="B44" s="17" t="n">
        <v>2691</v>
      </c>
      <c r="C44" s="18">
        <f>(2242.0/B44*100)</f>
        <v/>
      </c>
      <c r="D44" s="19" t="n">
        <v>449</v>
      </c>
      <c r="E44" s="18" t="n">
        <v>31.04166535</v>
      </c>
      <c r="F44" s="20" t="n">
        <v>2.7267236</v>
      </c>
      <c r="G44" s="18" t="n">
        <v>7.50538659</v>
      </c>
      <c r="H44" s="20" t="n">
        <v>1.35647158</v>
      </c>
      <c r="I44" s="18" t="n">
        <v>0</v>
      </c>
      <c r="J44" s="20" t="n">
        <v>0</v>
      </c>
      <c r="K44" s="18" t="n">
        <v>3.73014251</v>
      </c>
      <c r="L44" s="20" t="n">
        <v>1.13716768</v>
      </c>
      <c r="M44" s="18" t="n">
        <v>3.89249633</v>
      </c>
      <c r="N44" s="20" t="n">
        <v>1.05537251</v>
      </c>
      <c r="O44" s="18" t="n">
        <v>9.2190195</v>
      </c>
      <c r="P44" s="20" t="n">
        <v>2.52362339</v>
      </c>
      <c r="Q44" s="18" t="s">
        <v>349</v>
      </c>
      <c r="R44" s="20" t="s">
        <v>349</v>
      </c>
      <c r="S44" s="18" t="n">
        <v>20.56598502</v>
      </c>
      <c r="T44" s="20" t="n">
        <v>2.24504786</v>
      </c>
      <c r="U44" s="18" t="n">
        <v>0</v>
      </c>
      <c r="V44" s="20" t="n">
        <v>0</v>
      </c>
      <c r="W44" s="18" t="n">
        <v>0</v>
      </c>
      <c r="X44" s="20" t="n">
        <v>0</v>
      </c>
      <c r="Y44" s="18" t="n">
        <v>24.0453047</v>
      </c>
      <c r="Z44" s="20" t="n">
        <v>2.06282111</v>
      </c>
    </row>
    <row r="45" spans="1:26">
      <c r="A45" s="15" t="s">
        <v>387</v>
      </c>
      <c r="B45" s="17" t="n">
        <v>2670</v>
      </c>
      <c r="C45" s="18">
        <f>(2216.0/B45*100)</f>
        <v/>
      </c>
      <c r="D45" s="19" t="n">
        <v>454</v>
      </c>
      <c r="E45" s="18" t="n">
        <v>17.9802713</v>
      </c>
      <c r="F45" s="20" t="n">
        <v>1.67785733</v>
      </c>
      <c r="G45" s="18" t="n">
        <v>20.83706126</v>
      </c>
      <c r="H45" s="20" t="n">
        <v>2.17854802</v>
      </c>
      <c r="I45" s="18" t="n">
        <v>0</v>
      </c>
      <c r="J45" s="20" t="n">
        <v>0</v>
      </c>
      <c r="K45" s="18" t="n">
        <v>6.18338017</v>
      </c>
      <c r="L45" s="20" t="n">
        <v>1.19651044</v>
      </c>
      <c r="M45" s="18" t="n">
        <v>4.01377181</v>
      </c>
      <c r="N45" s="20" t="n">
        <v>1.01276846</v>
      </c>
      <c r="O45" s="18" t="n">
        <v>0.7212061</v>
      </c>
      <c r="P45" s="20" t="n">
        <v>0.36558945</v>
      </c>
      <c r="Q45" s="18" t="s">
        <v>349</v>
      </c>
      <c r="R45" s="20" t="s">
        <v>349</v>
      </c>
      <c r="S45" s="18" t="n">
        <v>22.2152202</v>
      </c>
      <c r="T45" s="20" t="n">
        <v>2.60691896</v>
      </c>
      <c r="U45" s="18" t="n">
        <v>0.32834701</v>
      </c>
      <c r="V45" s="20" t="n">
        <v>0.24576442</v>
      </c>
      <c r="W45" s="18" t="n">
        <v>1.0842324</v>
      </c>
      <c r="X45" s="20" t="n">
        <v>0.50025887</v>
      </c>
      <c r="Y45" s="18" t="n">
        <v>26.63650974</v>
      </c>
      <c r="Z45" s="20" t="n">
        <v>1.88200912</v>
      </c>
    </row>
    <row r="46" spans="1:26">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c r="W46" s="18" t="s">
        <v>349</v>
      </c>
      <c r="X46" s="20" t="s">
        <v>349</v>
      </c>
      <c r="Y46" s="18" t="s">
        <v>349</v>
      </c>
      <c r="Z46" s="20" t="s">
        <v>349</v>
      </c>
    </row>
    <row r="47" spans="1:26">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c r="W47" s="18" t="s">
        <v>349</v>
      </c>
      <c r="X47" s="20" t="s">
        <v>349</v>
      </c>
      <c r="Y47" s="18" t="s">
        <v>349</v>
      </c>
      <c r="Z47" s="20" t="s">
        <v>349</v>
      </c>
    </row>
    <row r="48" spans="1:26">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c r="U48" s="18" t="s">
        <v>349</v>
      </c>
      <c r="V48" s="20" t="s">
        <v>349</v>
      </c>
      <c r="W48" s="18" t="s">
        <v>349</v>
      </c>
      <c r="X48" s="20" t="s">
        <v>349</v>
      </c>
      <c r="Y48" s="18" t="s">
        <v>349</v>
      </c>
      <c r="Z48" s="20" t="s">
        <v>349</v>
      </c>
    </row>
    <row r="49" spans="1:26">
      <c r="A49" s="15" t="s">
        <v>391</v>
      </c>
      <c r="B49" s="17" t="n">
        <v>3331</v>
      </c>
      <c r="C49" s="18">
        <f>(2795.0/B49*100)</f>
        <v/>
      </c>
      <c r="D49" s="19" t="n">
        <v>536</v>
      </c>
      <c r="E49" s="18" t="n">
        <v>40.88980008</v>
      </c>
      <c r="F49" s="20" t="n">
        <v>2.5949569</v>
      </c>
      <c r="G49" s="18" t="n">
        <v>14.13370142</v>
      </c>
      <c r="H49" s="20" t="n">
        <v>1.58790201</v>
      </c>
      <c r="I49" s="18" t="n">
        <v>0</v>
      </c>
      <c r="J49" s="20" t="n">
        <v>0</v>
      </c>
      <c r="K49" s="18" t="n">
        <v>0.61719289</v>
      </c>
      <c r="L49" s="20" t="n">
        <v>0.35215435</v>
      </c>
      <c r="M49" s="18" t="n">
        <v>2.48341966</v>
      </c>
      <c r="N49" s="20" t="n">
        <v>0.70957514</v>
      </c>
      <c r="O49" s="18" t="n">
        <v>1.76821408</v>
      </c>
      <c r="P49" s="20" t="n">
        <v>0.69887183</v>
      </c>
      <c r="Q49" s="18" t="s">
        <v>349</v>
      </c>
      <c r="R49" s="20" t="s">
        <v>349</v>
      </c>
      <c r="S49" s="18" t="n">
        <v>13.98620389</v>
      </c>
      <c r="T49" s="20" t="n">
        <v>1.68998441</v>
      </c>
      <c r="U49" s="18" t="n">
        <v>0</v>
      </c>
      <c r="V49" s="20" t="n">
        <v>0</v>
      </c>
      <c r="W49" s="18" t="n">
        <v>0</v>
      </c>
      <c r="X49" s="20" t="n">
        <v>0</v>
      </c>
      <c r="Y49" s="18" t="n">
        <v>26.12146798</v>
      </c>
      <c r="Z49" s="20" t="n">
        <v>2.08660914</v>
      </c>
    </row>
    <row r="50" spans="1:26">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c r="W50" s="18" t="s">
        <v>349</v>
      </c>
      <c r="X50" s="20" t="s">
        <v>349</v>
      </c>
      <c r="Y50" s="18" t="s">
        <v>349</v>
      </c>
      <c r="Z50" s="20" t="s">
        <v>349</v>
      </c>
    </row>
    <row r="51" spans="1:26">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c r="W51" s="18" t="s">
        <v>349</v>
      </c>
      <c r="X51" s="20" t="s">
        <v>349</v>
      </c>
      <c r="Y51" s="18" t="s">
        <v>349</v>
      </c>
      <c r="Z51" s="20" t="s">
        <v>349</v>
      </c>
    </row>
    <row r="52" spans="1:26">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c r="U52" s="18" t="s">
        <v>349</v>
      </c>
      <c r="V52" s="20" t="s">
        <v>349</v>
      </c>
      <c r="W52" s="18" t="s">
        <v>349</v>
      </c>
      <c r="X52" s="20" t="s">
        <v>349</v>
      </c>
      <c r="Y52" s="18" t="s">
        <v>349</v>
      </c>
      <c r="Z52" s="20" t="s">
        <v>349</v>
      </c>
    </row>
    <row r="53" spans="1:26">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c r="W53" s="18" t="s">
        <v>349</v>
      </c>
      <c r="X53" s="20" t="s">
        <v>349</v>
      </c>
      <c r="Y53" s="18" t="s">
        <v>349</v>
      </c>
      <c r="Z53" s="20" t="s">
        <v>349</v>
      </c>
    </row>
    <row r="54" spans="1:26">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c r="W54" s="18" t="s">
        <v>349</v>
      </c>
      <c r="X54" s="20" t="s">
        <v>349</v>
      </c>
      <c r="Y54" s="18" t="s">
        <v>349</v>
      </c>
      <c r="Z54" s="20" t="s">
        <v>349</v>
      </c>
    </row>
    <row r="55" spans="1:26">
      <c r="A55" s="15" t="s">
        <v>397</v>
      </c>
      <c r="B55" s="17" t="n">
        <v>2557</v>
      </c>
      <c r="C55" s="18">
        <f>(2138.0/B55*100)</f>
        <v/>
      </c>
      <c r="D55" s="19" t="n">
        <v>419</v>
      </c>
      <c r="E55" s="18" t="n">
        <v>11.11734507</v>
      </c>
      <c r="F55" s="20" t="n">
        <v>1.74179228</v>
      </c>
      <c r="G55" s="18" t="n">
        <v>21.22513129</v>
      </c>
      <c r="H55" s="20" t="n">
        <v>2.05776385</v>
      </c>
      <c r="I55" s="18" t="n">
        <v>0</v>
      </c>
      <c r="J55" s="20" t="n">
        <v>0</v>
      </c>
      <c r="K55" s="18" t="n">
        <v>2.047616</v>
      </c>
      <c r="L55" s="20" t="n">
        <v>0.71824911</v>
      </c>
      <c r="M55" s="18" t="n">
        <v>4.4209782</v>
      </c>
      <c r="N55" s="20" t="n">
        <v>1.11889776</v>
      </c>
      <c r="O55" s="18" t="n">
        <v>5.22888747</v>
      </c>
      <c r="P55" s="20" t="n">
        <v>1.02360897</v>
      </c>
      <c r="Q55" s="18" t="s">
        <v>349</v>
      </c>
      <c r="R55" s="20" t="s">
        <v>349</v>
      </c>
      <c r="S55" s="18" t="n">
        <v>20.42810942</v>
      </c>
      <c r="T55" s="20" t="n">
        <v>2.06709526</v>
      </c>
      <c r="U55" s="18" t="n">
        <v>0</v>
      </c>
      <c r="V55" s="20" t="n">
        <v>0</v>
      </c>
      <c r="W55" s="18" t="n">
        <v>0</v>
      </c>
      <c r="X55" s="20" t="n">
        <v>0</v>
      </c>
      <c r="Y55" s="18" t="n">
        <v>35.53193255</v>
      </c>
      <c r="Z55" s="20" t="n">
        <v>2.13274616</v>
      </c>
    </row>
    <row r="56" spans="1:26">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c r="U56" s="18" t="s">
        <v>349</v>
      </c>
      <c r="V56" s="20" t="s">
        <v>349</v>
      </c>
      <c r="W56" s="18" t="s">
        <v>349</v>
      </c>
      <c r="X56" s="20" t="s">
        <v>349</v>
      </c>
      <c r="Y56" s="18" t="s">
        <v>349</v>
      </c>
      <c r="Z56" s="20" t="s">
        <v>349</v>
      </c>
    </row>
    <row r="57" spans="1:26">
      <c r="A57" s="15" t="s">
        <v>399</v>
      </c>
      <c r="B57" s="17" t="n">
        <v>3343</v>
      </c>
      <c r="C57" s="18">
        <f>(2767.0/B57*100)</f>
        <v/>
      </c>
      <c r="D57" s="19" t="n">
        <v>576</v>
      </c>
      <c r="E57" s="18" t="n">
        <v>4.2590243</v>
      </c>
      <c r="F57" s="20" t="n">
        <v>1.01846038</v>
      </c>
      <c r="G57" s="18" t="n">
        <v>66.48590381</v>
      </c>
      <c r="H57" s="20" t="n">
        <v>2.67603423</v>
      </c>
      <c r="I57" s="18" t="n">
        <v>0</v>
      </c>
      <c r="J57" s="20" t="n">
        <v>0</v>
      </c>
      <c r="K57" s="18" t="n">
        <v>0.9390413</v>
      </c>
      <c r="L57" s="20" t="n">
        <v>0.44163024</v>
      </c>
      <c r="M57" s="18" t="n">
        <v>0.74806938</v>
      </c>
      <c r="N57" s="20" t="n">
        <v>0.43236928</v>
      </c>
      <c r="O57" s="18" t="n">
        <v>2.73171209</v>
      </c>
      <c r="P57" s="20" t="n">
        <v>0.7087004099999999</v>
      </c>
      <c r="Q57" s="18" t="s">
        <v>349</v>
      </c>
      <c r="R57" s="20" t="s">
        <v>349</v>
      </c>
      <c r="S57" s="18" t="n">
        <v>3.38659848</v>
      </c>
      <c r="T57" s="20" t="n">
        <v>0.74906456</v>
      </c>
      <c r="U57" s="18" t="n">
        <v>0</v>
      </c>
      <c r="V57" s="20" t="n">
        <v>0</v>
      </c>
      <c r="W57" s="18" t="n">
        <v>0</v>
      </c>
      <c r="X57" s="20" t="n">
        <v>0</v>
      </c>
      <c r="Y57" s="18" t="n">
        <v>21.44965063</v>
      </c>
      <c r="Z57" s="20" t="n">
        <v>2.18210685</v>
      </c>
    </row>
    <row r="58" spans="1:26">
      <c r="A58" s="15" t="s">
        <v>400</v>
      </c>
      <c r="B58" s="17" t="n">
        <v>3737</v>
      </c>
      <c r="C58" s="18">
        <f>(3106.0/B58*100)</f>
        <v/>
      </c>
      <c r="D58" s="19" t="n">
        <v>631</v>
      </c>
      <c r="E58" s="18" t="n">
        <v>17.11492845</v>
      </c>
      <c r="F58" s="20" t="n">
        <v>1.85305353</v>
      </c>
      <c r="G58" s="18" t="n">
        <v>56.73404186</v>
      </c>
      <c r="H58" s="20" t="n">
        <v>2.82979362</v>
      </c>
      <c r="I58" s="18" t="n">
        <v>0</v>
      </c>
      <c r="J58" s="20" t="n">
        <v>0</v>
      </c>
      <c r="K58" s="18" t="n">
        <v>0</v>
      </c>
      <c r="L58" s="20" t="n">
        <v>0</v>
      </c>
      <c r="M58" s="18" t="n">
        <v>1.66143783</v>
      </c>
      <c r="N58" s="20" t="n">
        <v>0.85467209</v>
      </c>
      <c r="O58" s="18" t="n">
        <v>0.70200032</v>
      </c>
      <c r="P58" s="20" t="n">
        <v>0.3874486</v>
      </c>
      <c r="Q58" s="18" t="s">
        <v>349</v>
      </c>
      <c r="R58" s="20" t="s">
        <v>349</v>
      </c>
      <c r="S58" s="18" t="n">
        <v>7.56520757</v>
      </c>
      <c r="T58" s="20" t="n">
        <v>1.3487536</v>
      </c>
      <c r="U58" s="18" t="n">
        <v>0</v>
      </c>
      <c r="V58" s="20" t="n">
        <v>0</v>
      </c>
      <c r="W58" s="18" t="n">
        <v>0</v>
      </c>
      <c r="X58" s="20" t="n">
        <v>0</v>
      </c>
      <c r="Y58" s="18" t="n">
        <v>16.22238396</v>
      </c>
      <c r="Z58" s="20" t="n">
        <v>1.88289875</v>
      </c>
    </row>
    <row r="59" spans="1:26">
      <c r="A59" s="15" t="s">
        <v>401</v>
      </c>
      <c r="B59" s="17" t="n">
        <v>2278</v>
      </c>
      <c r="C59" s="18">
        <f>(1910.0/B59*100)</f>
        <v/>
      </c>
      <c r="D59" s="19" t="n">
        <v>368</v>
      </c>
      <c r="E59" s="18" t="n">
        <v>29.42631448</v>
      </c>
      <c r="F59" s="20" t="n">
        <v>2.51859342</v>
      </c>
      <c r="G59" s="18" t="n">
        <v>17.67877454</v>
      </c>
      <c r="H59" s="20" t="n">
        <v>2.25637576</v>
      </c>
      <c r="I59" s="18" t="n">
        <v>0</v>
      </c>
      <c r="J59" s="20" t="n">
        <v>0</v>
      </c>
      <c r="K59" s="18" t="n">
        <v>0</v>
      </c>
      <c r="L59" s="20" t="n">
        <v>0</v>
      </c>
      <c r="M59" s="18" t="n">
        <v>0</v>
      </c>
      <c r="N59" s="20" t="n">
        <v>0</v>
      </c>
      <c r="O59" s="18" t="n">
        <v>0.15385811</v>
      </c>
      <c r="P59" s="20" t="n">
        <v>0.15514685</v>
      </c>
      <c r="Q59" s="18" t="s">
        <v>349</v>
      </c>
      <c r="R59" s="20" t="s">
        <v>349</v>
      </c>
      <c r="S59" s="18" t="n">
        <v>11.94317547</v>
      </c>
      <c r="T59" s="20" t="n">
        <v>2.01644999</v>
      </c>
      <c r="U59" s="18" t="n">
        <v>0</v>
      </c>
      <c r="V59" s="20" t="n">
        <v>0</v>
      </c>
      <c r="W59" s="18" t="n">
        <v>0</v>
      </c>
      <c r="X59" s="20" t="n">
        <v>0</v>
      </c>
      <c r="Y59" s="18" t="n">
        <v>40.7978774</v>
      </c>
      <c r="Z59" s="20" t="n">
        <v>3.00498953</v>
      </c>
    </row>
    <row r="60" spans="1:26">
      <c r="A60" s="15" t="s">
        <v>402</v>
      </c>
      <c r="B60" s="17" t="n">
        <v>2451</v>
      </c>
      <c r="C60" s="18">
        <f>(2037.0/B60*100)</f>
        <v/>
      </c>
      <c r="D60" s="19" t="n">
        <v>414</v>
      </c>
      <c r="E60" s="18" t="n">
        <v>17.50604513</v>
      </c>
      <c r="F60" s="20" t="n">
        <v>1.98528466</v>
      </c>
      <c r="G60" s="18" t="n">
        <v>19.78838655</v>
      </c>
      <c r="H60" s="20" t="n">
        <v>1.99845311</v>
      </c>
      <c r="I60" s="18" t="n">
        <v>0</v>
      </c>
      <c r="J60" s="20" t="n">
        <v>0</v>
      </c>
      <c r="K60" s="18" t="n">
        <v>1.39498704</v>
      </c>
      <c r="L60" s="20" t="n">
        <v>0.91907323</v>
      </c>
      <c r="M60" s="18" t="n">
        <v>1.61955378</v>
      </c>
      <c r="N60" s="20" t="n">
        <v>0.67637092</v>
      </c>
      <c r="O60" s="18" t="n">
        <v>4.36228717</v>
      </c>
      <c r="P60" s="20" t="n">
        <v>1.13700906</v>
      </c>
      <c r="Q60" s="18" t="s">
        <v>349</v>
      </c>
      <c r="R60" s="20" t="s">
        <v>349</v>
      </c>
      <c r="S60" s="18" t="n">
        <v>26.32761129</v>
      </c>
      <c r="T60" s="20" t="n">
        <v>2.48481953</v>
      </c>
      <c r="U60" s="18" t="n">
        <v>0</v>
      </c>
      <c r="V60" s="20" t="n">
        <v>0</v>
      </c>
      <c r="W60" s="18" t="n">
        <v>1.26435364</v>
      </c>
      <c r="X60" s="20" t="n">
        <v>0.6159169</v>
      </c>
      <c r="Y60" s="18" t="n">
        <v>27.7367754</v>
      </c>
      <c r="Z60" s="20" t="n">
        <v>2.82160291</v>
      </c>
    </row>
    <row r="61" spans="1:26">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c r="U61" s="18" t="s">
        <v>349</v>
      </c>
      <c r="V61" s="20" t="s">
        <v>349</v>
      </c>
      <c r="W61" s="18" t="s">
        <v>349</v>
      </c>
      <c r="X61" s="20" t="s">
        <v>349</v>
      </c>
      <c r="Y61" s="18" t="s">
        <v>349</v>
      </c>
      <c r="Z61" s="20" t="s">
        <v>349</v>
      </c>
    </row>
    <row r="62" spans="1:26">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c r="U62" s="18" t="s">
        <v>349</v>
      </c>
      <c r="V62" s="20" t="s">
        <v>349</v>
      </c>
      <c r="W62" s="18" t="s">
        <v>349</v>
      </c>
      <c r="X62" s="20" t="s">
        <v>349</v>
      </c>
      <c r="Y62" s="18" t="s">
        <v>349</v>
      </c>
      <c r="Z62" s="20" t="s">
        <v>349</v>
      </c>
    </row>
    <row r="63" spans="1:26">
      <c r="A63" s="15" t="s">
        <v>405</v>
      </c>
      <c r="B63" s="17" t="n">
        <v>2511</v>
      </c>
      <c r="C63" s="18">
        <f>(2065.0/B63*100)</f>
        <v/>
      </c>
      <c r="D63" s="19" t="n">
        <v>446</v>
      </c>
      <c r="E63" s="18" t="n">
        <v>19.90570704</v>
      </c>
      <c r="F63" s="20" t="n">
        <v>2.01869881</v>
      </c>
      <c r="G63" s="18" t="n">
        <v>14.93707952</v>
      </c>
      <c r="H63" s="20" t="n">
        <v>2.14292215</v>
      </c>
      <c r="I63" s="18" t="n">
        <v>0</v>
      </c>
      <c r="J63" s="20" t="n">
        <v>0</v>
      </c>
      <c r="K63" s="18" t="n">
        <v>0.5576480700000001</v>
      </c>
      <c r="L63" s="20" t="n">
        <v>0.47560452</v>
      </c>
      <c r="M63" s="18" t="n">
        <v>0.9246967699999999</v>
      </c>
      <c r="N63" s="20" t="n">
        <v>0.51191252</v>
      </c>
      <c r="O63" s="18" t="n">
        <v>2.50050594</v>
      </c>
      <c r="P63" s="20" t="n">
        <v>0.8140081</v>
      </c>
      <c r="Q63" s="18" t="s">
        <v>349</v>
      </c>
      <c r="R63" s="20" t="s">
        <v>349</v>
      </c>
      <c r="S63" s="18" t="n">
        <v>16.97945926</v>
      </c>
      <c r="T63" s="20" t="n">
        <v>1.98783874</v>
      </c>
      <c r="U63" s="18" t="n">
        <v>0</v>
      </c>
      <c r="V63" s="20" t="n">
        <v>0</v>
      </c>
      <c r="W63" s="18" t="n">
        <v>0</v>
      </c>
      <c r="X63" s="20" t="n">
        <v>0</v>
      </c>
      <c r="Y63" s="18" t="n">
        <v>44.1949034</v>
      </c>
      <c r="Z63" s="20" t="n">
        <v>2.38203928</v>
      </c>
    </row>
    <row r="64" spans="1:26">
      <c r="A64" s="15" t="s">
        <v>406</v>
      </c>
      <c r="B64" s="17" t="n">
        <v>1790</v>
      </c>
      <c r="C64" s="18">
        <f>(1496.0/B64*100)</f>
        <v/>
      </c>
      <c r="D64" s="19" t="n">
        <v>294</v>
      </c>
      <c r="E64" s="18" t="n">
        <v>51.88472062</v>
      </c>
      <c r="F64" s="20" t="n">
        <v>2.7411616</v>
      </c>
      <c r="G64" s="18" t="n">
        <v>13.36137777</v>
      </c>
      <c r="H64" s="20" t="n">
        <v>1.90413352</v>
      </c>
      <c r="I64" s="18" t="n">
        <v>0</v>
      </c>
      <c r="J64" s="20" t="n">
        <v>0</v>
      </c>
      <c r="K64" s="18" t="n">
        <v>1.67463601</v>
      </c>
      <c r="L64" s="20" t="n">
        <v>0.74591084</v>
      </c>
      <c r="M64" s="18" t="n">
        <v>3.98568095</v>
      </c>
      <c r="N64" s="20" t="n">
        <v>1.18139272</v>
      </c>
      <c r="O64" s="18" t="n">
        <v>3.45426588</v>
      </c>
      <c r="P64" s="20" t="n">
        <v>1.09065263</v>
      </c>
      <c r="Q64" s="18" t="s">
        <v>349</v>
      </c>
      <c r="R64" s="20" t="s">
        <v>349</v>
      </c>
      <c r="S64" s="18" t="n">
        <v>4.9305101</v>
      </c>
      <c r="T64" s="20" t="n">
        <v>1.41969469</v>
      </c>
      <c r="U64" s="18" t="n">
        <v>0</v>
      </c>
      <c r="V64" s="20" t="n">
        <v>0</v>
      </c>
      <c r="W64" s="18" t="n">
        <v>0</v>
      </c>
      <c r="X64" s="20" t="n">
        <v>0</v>
      </c>
      <c r="Y64" s="18" t="n">
        <v>20.70880867</v>
      </c>
      <c r="Z64" s="20" t="n">
        <v>2.15900026</v>
      </c>
    </row>
    <row r="65" spans="1:26">
      <c r="A65" s="15" t="s">
        <v>407</v>
      </c>
      <c r="B65" s="17" t="n">
        <v>2634</v>
      </c>
      <c r="C65" s="18">
        <f>(2193.0/B65*100)</f>
        <v/>
      </c>
      <c r="D65" s="19" t="n">
        <v>441</v>
      </c>
      <c r="E65" s="18" t="n">
        <v>16.95065025</v>
      </c>
      <c r="F65" s="20" t="n">
        <v>1.87204589</v>
      </c>
      <c r="G65" s="18" t="n">
        <v>19.20348558</v>
      </c>
      <c r="H65" s="20" t="n">
        <v>2.05077808</v>
      </c>
      <c r="I65" s="18" t="n">
        <v>0</v>
      </c>
      <c r="J65" s="20" t="n">
        <v>0</v>
      </c>
      <c r="K65" s="18" t="n">
        <v>1.43716959</v>
      </c>
      <c r="L65" s="20" t="n">
        <v>0.70073624</v>
      </c>
      <c r="M65" s="18" t="n">
        <v>2.21236013</v>
      </c>
      <c r="N65" s="20" t="n">
        <v>0.6991460900000001</v>
      </c>
      <c r="O65" s="18" t="n">
        <v>3.52898754</v>
      </c>
      <c r="P65" s="20" t="n">
        <v>1.00808515</v>
      </c>
      <c r="Q65" s="18" t="s">
        <v>349</v>
      </c>
      <c r="R65" s="20" t="s">
        <v>349</v>
      </c>
      <c r="S65" s="18" t="n">
        <v>22.49733487</v>
      </c>
      <c r="T65" s="20" t="n">
        <v>1.96746811</v>
      </c>
      <c r="U65" s="18" t="n">
        <v>0</v>
      </c>
      <c r="V65" s="20" t="n">
        <v>0</v>
      </c>
      <c r="W65" s="18" t="n">
        <v>0</v>
      </c>
      <c r="X65" s="20" t="n">
        <v>0</v>
      </c>
      <c r="Y65" s="18" t="n">
        <v>34.17001203</v>
      </c>
      <c r="Z65" s="20" t="n">
        <v>2.73928216</v>
      </c>
    </row>
    <row r="66" spans="1:26">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c r="U66" s="18" t="s">
        <v>349</v>
      </c>
      <c r="V66" s="20" t="s">
        <v>349</v>
      </c>
      <c r="W66" s="18" t="s">
        <v>349</v>
      </c>
      <c r="X66" s="20" t="s">
        <v>349</v>
      </c>
      <c r="Y66" s="18" t="s">
        <v>349</v>
      </c>
      <c r="Z66" s="20" t="s">
        <v>349</v>
      </c>
    </row>
    <row r="67" spans="1:26">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c r="W67" s="18" t="s">
        <v>349</v>
      </c>
      <c r="X67" s="20" t="s">
        <v>349</v>
      </c>
      <c r="Y67" s="18" t="s">
        <v>349</v>
      </c>
      <c r="Z67" s="20" t="s">
        <v>349</v>
      </c>
    </row>
    <row r="68" spans="1:26">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c r="U68" s="18" t="s">
        <v>349</v>
      </c>
      <c r="V68" s="20" t="s">
        <v>349</v>
      </c>
      <c r="W68" s="18" t="s">
        <v>349</v>
      </c>
      <c r="X68" s="20" t="s">
        <v>349</v>
      </c>
      <c r="Y68" s="18" t="s">
        <v>349</v>
      </c>
      <c r="Z68" s="20" t="s">
        <v>349</v>
      </c>
    </row>
    <row r="69" spans="1:26">
      <c r="A69" s="15" t="s">
        <v>411</v>
      </c>
      <c r="B69" s="17" t="n">
        <v>2466</v>
      </c>
      <c r="C69" s="18">
        <f>(2054.0/B69*100)</f>
        <v/>
      </c>
      <c r="D69" s="19" t="n">
        <v>412</v>
      </c>
      <c r="E69" s="18" t="n">
        <v>38.84245216</v>
      </c>
      <c r="F69" s="20" t="n">
        <v>2.48189039</v>
      </c>
      <c r="G69" s="18" t="n">
        <v>46.42440256</v>
      </c>
      <c r="H69" s="20" t="n">
        <v>2.60046895</v>
      </c>
      <c r="I69" s="18" t="n">
        <v>0</v>
      </c>
      <c r="J69" s="20" t="n">
        <v>0</v>
      </c>
      <c r="K69" s="18" t="n">
        <v>4.75414116</v>
      </c>
      <c r="L69" s="20" t="n">
        <v>0.9102057</v>
      </c>
      <c r="M69" s="18" t="n">
        <v>5.65910607</v>
      </c>
      <c r="N69" s="20" t="n">
        <v>1.22182129</v>
      </c>
      <c r="O69" s="18" t="n">
        <v>3.49821919</v>
      </c>
      <c r="P69" s="20" t="n">
        <v>0.9289575</v>
      </c>
      <c r="Q69" s="18" t="s">
        <v>349</v>
      </c>
      <c r="R69" s="20" t="s">
        <v>349</v>
      </c>
      <c r="S69" s="18" t="n">
        <v>0</v>
      </c>
      <c r="T69" s="20" t="n">
        <v>0</v>
      </c>
      <c r="U69" s="18" t="n">
        <v>0</v>
      </c>
      <c r="V69" s="20" t="n">
        <v>0</v>
      </c>
      <c r="W69" s="18" t="n">
        <v>0</v>
      </c>
      <c r="X69" s="20" t="n">
        <v>0</v>
      </c>
      <c r="Y69" s="18" t="n">
        <v>0.82167886</v>
      </c>
      <c r="Z69" s="20" t="n">
        <v>0.41930268</v>
      </c>
    </row>
    <row r="70" spans="1:26">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c r="U70" s="18" t="s">
        <v>349</v>
      </c>
      <c r="V70" s="20" t="s">
        <v>349</v>
      </c>
      <c r="W70" s="18" t="s">
        <v>349</v>
      </c>
      <c r="X70" s="20" t="s">
        <v>349</v>
      </c>
      <c r="Y70" s="18" t="s">
        <v>349</v>
      </c>
      <c r="Z70" s="20" t="s">
        <v>349</v>
      </c>
    </row>
    <row r="71" spans="1:26">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c r="U71" s="18" t="s">
        <v>349</v>
      </c>
      <c r="V71" s="20" t="s">
        <v>349</v>
      </c>
      <c r="W71" s="18" t="s">
        <v>349</v>
      </c>
      <c r="X71" s="20" t="s">
        <v>349</v>
      </c>
      <c r="Y71" s="18" t="s">
        <v>349</v>
      </c>
      <c r="Z71" s="20" t="s">
        <v>349</v>
      </c>
    </row>
    <row r="72" spans="1:26">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c r="U72" s="18" t="s">
        <v>349</v>
      </c>
      <c r="V72" s="20" t="s">
        <v>349</v>
      </c>
      <c r="W72" s="18" t="s">
        <v>349</v>
      </c>
      <c r="X72" s="20" t="s">
        <v>349</v>
      </c>
      <c r="Y72" s="18" t="s">
        <v>349</v>
      </c>
      <c r="Z72" s="20" t="s">
        <v>349</v>
      </c>
    </row>
    <row r="73" spans="1:26">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c r="U73" s="18" t="s">
        <v>349</v>
      </c>
      <c r="V73" s="20" t="s">
        <v>349</v>
      </c>
      <c r="W73" s="18" t="s">
        <v>349</v>
      </c>
      <c r="X73" s="20" t="s">
        <v>349</v>
      </c>
      <c r="Y73" s="18" t="s">
        <v>349</v>
      </c>
      <c r="Z73" s="20" t="s">
        <v>349</v>
      </c>
    </row>
    <row r="74" spans="1:26">
      <c r="A74" s="15" t="s">
        <v>416</v>
      </c>
      <c r="B74" s="17" t="n">
        <v>2453</v>
      </c>
      <c r="C74" s="18">
        <f>(2033.0/B74*100)</f>
        <v/>
      </c>
      <c r="D74" s="19" t="n">
        <v>420</v>
      </c>
      <c r="E74" s="18" t="n">
        <v>48.89454515</v>
      </c>
      <c r="F74" s="20" t="n">
        <v>2.77991379</v>
      </c>
      <c r="G74" s="18" t="n">
        <v>8.588605810000001</v>
      </c>
      <c r="H74" s="20" t="n">
        <v>1.44325346</v>
      </c>
      <c r="I74" s="18" t="n">
        <v>0</v>
      </c>
      <c r="J74" s="20" t="n">
        <v>0</v>
      </c>
      <c r="K74" s="18" t="n">
        <v>0.49391274</v>
      </c>
      <c r="L74" s="20" t="n">
        <v>0.28959964</v>
      </c>
      <c r="M74" s="18" t="n">
        <v>0.7057625</v>
      </c>
      <c r="N74" s="20" t="n">
        <v>0.42183415</v>
      </c>
      <c r="O74" s="18" t="n">
        <v>0.50722259</v>
      </c>
      <c r="P74" s="20" t="n">
        <v>0.3637224</v>
      </c>
      <c r="Q74" s="18" t="s">
        <v>349</v>
      </c>
      <c r="R74" s="20" t="s">
        <v>349</v>
      </c>
      <c r="S74" s="18" t="n">
        <v>15.33966399</v>
      </c>
      <c r="T74" s="20" t="n">
        <v>1.76961032</v>
      </c>
      <c r="U74" s="18" t="n">
        <v>0</v>
      </c>
      <c r="V74" s="20" t="n">
        <v>0</v>
      </c>
      <c r="W74" s="18" t="n">
        <v>0</v>
      </c>
      <c r="X74" s="20" t="n">
        <v>0</v>
      </c>
      <c r="Y74" s="18" t="n">
        <v>25.47028722</v>
      </c>
      <c r="Z74" s="20" t="n">
        <v>2.23191997</v>
      </c>
    </row>
    <row r="75" spans="1:26">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c r="W75" s="18" t="s">
        <v>349</v>
      </c>
      <c r="X75" s="20" t="s">
        <v>349</v>
      </c>
      <c r="Y75" s="18" t="s">
        <v>349</v>
      </c>
      <c r="Z75" s="20" t="s">
        <v>349</v>
      </c>
    </row>
    <row r="76" spans="1:26">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c r="W76" s="18" t="s">
        <v>349</v>
      </c>
      <c r="X76" s="20" t="s">
        <v>349</v>
      </c>
      <c r="Y76" s="18" t="s">
        <v>349</v>
      </c>
      <c r="Z76" s="20" t="s">
        <v>349</v>
      </c>
    </row>
    <row r="77" spans="1:26">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c r="W77" s="18" t="s">
        <v>349</v>
      </c>
      <c r="X77" s="20" t="s">
        <v>349</v>
      </c>
      <c r="Y77" s="18" t="s">
        <v>349</v>
      </c>
      <c r="Z77" s="20" t="s">
        <v>349</v>
      </c>
    </row>
    <row r="78" spans="1:26">
      <c r="A78" s="15" t="s">
        <v>420</v>
      </c>
      <c r="B78" s="17" t="n">
        <v>3040</v>
      </c>
      <c r="C78" s="18">
        <f>(2539.0/B78*100)</f>
        <v/>
      </c>
      <c r="D78" s="19" t="n">
        <v>501</v>
      </c>
      <c r="E78" s="18" t="n">
        <v>37.85294785</v>
      </c>
      <c r="F78" s="20" t="n">
        <v>2.22315073</v>
      </c>
      <c r="G78" s="18" t="n">
        <v>33.34055343</v>
      </c>
      <c r="H78" s="20" t="n">
        <v>2.139297</v>
      </c>
      <c r="I78" s="18" t="n">
        <v>0</v>
      </c>
      <c r="J78" s="20" t="n">
        <v>0</v>
      </c>
      <c r="K78" s="18" t="n">
        <v>2.56641004</v>
      </c>
      <c r="L78" s="20" t="n">
        <v>0.68287106</v>
      </c>
      <c r="M78" s="18" t="n">
        <v>7.64234731</v>
      </c>
      <c r="N78" s="20" t="n">
        <v>1.31746432</v>
      </c>
      <c r="O78" s="18" t="n">
        <v>8.33100335</v>
      </c>
      <c r="P78" s="20" t="n">
        <v>1.5724528</v>
      </c>
      <c r="Q78" s="18" t="s">
        <v>349</v>
      </c>
      <c r="R78" s="20" t="s">
        <v>349</v>
      </c>
      <c r="S78" s="18" t="n">
        <v>0.44454176</v>
      </c>
      <c r="T78" s="20" t="n">
        <v>0.28774026</v>
      </c>
      <c r="U78" s="18" t="n">
        <v>0</v>
      </c>
      <c r="V78" s="20" t="n">
        <v>0</v>
      </c>
      <c r="W78" s="18" t="n">
        <v>0</v>
      </c>
      <c r="X78" s="20" t="n">
        <v>0</v>
      </c>
      <c r="Y78" s="18" t="n">
        <v>9.82219626</v>
      </c>
      <c r="Z78" s="20" t="n">
        <v>1.41009631</v>
      </c>
    </row>
    <row customHeight="1" ht="25" r="79" spans="1:26">
      <c r="A79" s="15" t="s">
        <v>421</v>
      </c>
      <c r="B79" s="17" t="n">
        <v>870</v>
      </c>
      <c r="C79" s="18">
        <f>(722.0/B79*100)</f>
        <v/>
      </c>
      <c r="D79" s="19" t="n">
        <v>148</v>
      </c>
      <c r="E79" s="18" t="n">
        <v>28.87062597</v>
      </c>
      <c r="F79" s="20" t="n">
        <v>3.87387577</v>
      </c>
      <c r="G79" s="18" t="n">
        <v>17.56977321</v>
      </c>
      <c r="H79" s="20" t="n">
        <v>2.14533437</v>
      </c>
      <c r="I79" s="18" t="n">
        <v>0</v>
      </c>
      <c r="J79" s="20" t="n">
        <v>0</v>
      </c>
      <c r="K79" s="18" t="n">
        <v>2.06362335</v>
      </c>
      <c r="L79" s="20" t="n">
        <v>1.20018825</v>
      </c>
      <c r="M79" s="18" t="n">
        <v>5.12605748</v>
      </c>
      <c r="N79" s="20" t="n">
        <v>2.19245404</v>
      </c>
      <c r="O79" s="18" t="n">
        <v>2.46216687</v>
      </c>
      <c r="P79" s="20" t="n">
        <v>1.42881359</v>
      </c>
      <c r="Q79" s="18" t="s">
        <v>349</v>
      </c>
      <c r="R79" s="20" t="s">
        <v>349</v>
      </c>
      <c r="S79" s="18" t="n">
        <v>16.87681163</v>
      </c>
      <c r="T79" s="20" t="n">
        <v>3.20728641</v>
      </c>
      <c r="U79" s="18" t="n">
        <v>0</v>
      </c>
      <c r="V79" s="20" t="n">
        <v>0</v>
      </c>
      <c r="W79" s="18" t="n">
        <v>0</v>
      </c>
      <c r="X79" s="20" t="n">
        <v>0</v>
      </c>
      <c r="Y79" s="18" t="n">
        <v>27.0309415</v>
      </c>
      <c r="Z79" s="20" t="n">
        <v>4.25405987</v>
      </c>
    </row>
    <row r="80" spans="1:26">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c r="Y80" s="18" t="s">
        <v>349</v>
      </c>
      <c r="Z80" s="20" t="s">
        <v>349</v>
      </c>
    </row>
    <row r="81" spans="1:26">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c r="U81" s="18" t="s">
        <v>349</v>
      </c>
      <c r="V81" s="20" t="s">
        <v>349</v>
      </c>
      <c r="W81" s="18" t="s">
        <v>349</v>
      </c>
      <c r="X81" s="20" t="s">
        <v>349</v>
      </c>
      <c r="Y81" s="18" t="s">
        <v>349</v>
      </c>
      <c r="Z81" s="20" t="s">
        <v>349</v>
      </c>
    </row>
    <row r="82" spans="1:26">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c r="Y82" s="22" t="s">
        <v>424</v>
      </c>
      <c r="Z82" s="22" t="s">
        <v>424</v>
      </c>
    </row>
    <row r="83" spans="1:26">
      <c r="A83" s="3" t="s">
        <v>425</v>
      </c>
    </row>
    <row r="84" spans="1:26">
      <c r="A84" s="23" t="s">
        <v>426</v>
      </c>
    </row>
    <row r="85" spans="1:26">
      <c r="A85" s="23" t="s">
        <v>427</v>
      </c>
    </row>
    <row customHeight="1" ht="30" r="86" spans="1:26">
      <c r="A86" s="23" t="s">
        <v>428</v>
      </c>
    </row>
    <row customHeight="1" ht="30" r="87" spans="1:26">
      <c r="A87" s="23" t="s">
        <v>424</v>
      </c>
    </row>
    <row customHeight="1" ht="30" r="88" spans="1:26">
      <c r="A88" s="23" t="s">
        <v>429</v>
      </c>
    </row>
    <row customHeight="1" ht="30" r="89" spans="1:26">
      <c r="A89" s="23" t="s">
        <v>430</v>
      </c>
    </row>
    <row customHeight="1" ht="30" r="90" spans="1:26">
      <c r="A90" s="23" t="s">
        <v>431</v>
      </c>
    </row>
    <row customHeight="1" ht="30" r="91" spans="1:26">
      <c r="A91" s="23" t="s">
        <v>432</v>
      </c>
    </row>
    <row customHeight="1" ht="30" r="92" spans="1:26">
      <c r="A92" s="23" t="s">
        <v>433</v>
      </c>
    </row>
    <row customHeight="1" ht="30" r="93" spans="1:26">
      <c r="A93" s="23" t="s">
        <v>434</v>
      </c>
    </row>
    <row customHeight="1" ht="30" r="94" spans="1:26">
      <c r="A94" s="23" t="s">
        <v>435</v>
      </c>
    </row>
    <row customHeight="1" ht="30" r="95" spans="1:26">
      <c r="A95" s="23" t="s">
        <v>436</v>
      </c>
    </row>
    <row customHeight="1" ht="30" r="96" spans="1:26">
      <c r="A96" s="23" t="s">
        <v>437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(2242.0/B44*100)</f>
        <v/>
      </c>
      <c r="D44" s="19" t="n">
        <v>449</v>
      </c>
      <c r="E44" s="18" t="n">
        <v>55.40611609</v>
      </c>
      <c r="F44" s="20" t="n">
        <v>2.94620464</v>
      </c>
      <c r="G44" s="18" t="n">
        <v>16.32905654</v>
      </c>
      <c r="H44" s="20" t="n">
        <v>1.78958492</v>
      </c>
      <c r="I44" s="18" t="s">
        <v>349</v>
      </c>
      <c r="J44" s="20" t="s">
        <v>349</v>
      </c>
      <c r="K44" s="18" t="n">
        <v>27.90736295</v>
      </c>
      <c r="L44" s="20" t="n">
        <v>2.37607728</v>
      </c>
      <c r="M44" s="18" t="n">
        <v>0</v>
      </c>
      <c r="N44" s="20" t="n">
        <v>0</v>
      </c>
      <c r="O44" s="18" t="n">
        <v>0.35746442</v>
      </c>
      <c r="P44" s="20" t="n">
        <v>0.25341872</v>
      </c>
      <c r="Q44" s="18" t="n">
        <v>0</v>
      </c>
      <c r="R44" s="20" t="n">
        <v>0</v>
      </c>
    </row>
    <row r="45" spans="1:18">
      <c r="A45" s="15" t="s">
        <v>387</v>
      </c>
      <c r="B45" s="17" t="n">
        <v>2670</v>
      </c>
      <c r="C45" s="18">
        <f>(2216.0/B45*100)</f>
        <v/>
      </c>
      <c r="D45" s="19" t="n">
        <v>454</v>
      </c>
      <c r="E45" s="18" t="n">
        <v>62.42198539</v>
      </c>
      <c r="F45" s="20" t="n">
        <v>2.42463917</v>
      </c>
      <c r="G45" s="18" t="n">
        <v>2.64384927</v>
      </c>
      <c r="H45" s="20" t="n">
        <v>0.78342395</v>
      </c>
      <c r="I45" s="18" t="s">
        <v>349</v>
      </c>
      <c r="J45" s="20" t="s">
        <v>349</v>
      </c>
      <c r="K45" s="18" t="n">
        <v>29.39239097</v>
      </c>
      <c r="L45" s="20" t="n">
        <v>2.65728224</v>
      </c>
      <c r="M45" s="18" t="n">
        <v>1.38207554</v>
      </c>
      <c r="N45" s="20" t="n">
        <v>0.47203161</v>
      </c>
      <c r="O45" s="18" t="n">
        <v>4.15969883</v>
      </c>
      <c r="P45" s="20" t="n">
        <v>1.0038818</v>
      </c>
      <c r="Q45" s="18" t="n">
        <v>0</v>
      </c>
      <c r="R45" s="20" t="n">
        <v>0</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(2795.0/B49*100)</f>
        <v/>
      </c>
      <c r="D49" s="19" t="n">
        <v>536</v>
      </c>
      <c r="E49" s="18" t="n">
        <v>69.06116968000001</v>
      </c>
      <c r="F49" s="20" t="n">
        <v>2.270091</v>
      </c>
      <c r="G49" s="18" t="n">
        <v>15.67886542</v>
      </c>
      <c r="H49" s="20" t="n">
        <v>1.96190097</v>
      </c>
      <c r="I49" s="18" t="s">
        <v>349</v>
      </c>
      <c r="J49" s="20" t="s">
        <v>349</v>
      </c>
      <c r="K49" s="18" t="n">
        <v>15.03572032</v>
      </c>
      <c r="L49" s="20" t="n">
        <v>1.72528306</v>
      </c>
      <c r="M49" s="18" t="n">
        <v>0</v>
      </c>
      <c r="N49" s="20" t="n">
        <v>0</v>
      </c>
      <c r="O49" s="18" t="n">
        <v>0.22424458</v>
      </c>
      <c r="P49" s="20" t="n">
        <v>0.22131225</v>
      </c>
      <c r="Q49" s="18" t="n">
        <v>0</v>
      </c>
      <c r="R49" s="20" t="n">
        <v>0</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(2138.0/B55*100)</f>
        <v/>
      </c>
      <c r="D55" s="19" t="n">
        <v>419</v>
      </c>
      <c r="E55" s="18" t="n">
        <v>61.32940341</v>
      </c>
      <c r="F55" s="20" t="n">
        <v>2.3365157</v>
      </c>
      <c r="G55" s="18" t="n">
        <v>13.42905695</v>
      </c>
      <c r="H55" s="20" t="n">
        <v>1.96180382</v>
      </c>
      <c r="I55" s="18" t="s">
        <v>349</v>
      </c>
      <c r="J55" s="20" t="s">
        <v>349</v>
      </c>
      <c r="K55" s="18" t="n">
        <v>22.86364822</v>
      </c>
      <c r="L55" s="20" t="n">
        <v>1.98975282</v>
      </c>
      <c r="M55" s="18" t="n">
        <v>0</v>
      </c>
      <c r="N55" s="20" t="n">
        <v>0</v>
      </c>
      <c r="O55" s="18" t="n">
        <v>2.37789142</v>
      </c>
      <c r="P55" s="20" t="n">
        <v>0.9325561999999999</v>
      </c>
      <c r="Q55" s="18" t="n">
        <v>0</v>
      </c>
      <c r="R55" s="20" t="n">
        <v>0</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(3106.0/B58*100)</f>
        <v/>
      </c>
      <c r="D58" s="19" t="n">
        <v>631</v>
      </c>
      <c r="E58" s="18" t="n">
        <v>77.31048898</v>
      </c>
      <c r="F58" s="20" t="n">
        <v>2.16469708</v>
      </c>
      <c r="G58" s="18" t="n">
        <v>11.81647618</v>
      </c>
      <c r="H58" s="20" t="n">
        <v>1.76448402</v>
      </c>
      <c r="I58" s="18" t="s">
        <v>349</v>
      </c>
      <c r="J58" s="20" t="s">
        <v>349</v>
      </c>
      <c r="K58" s="18" t="n">
        <v>9.23583425</v>
      </c>
      <c r="L58" s="20" t="n">
        <v>1.65316161</v>
      </c>
      <c r="M58" s="18" t="n">
        <v>0</v>
      </c>
      <c r="N58" s="20" t="n">
        <v>0</v>
      </c>
      <c r="O58" s="18" t="n">
        <v>1.63720059</v>
      </c>
      <c r="P58" s="20" t="n">
        <v>0.48105415</v>
      </c>
      <c r="Q58" s="18" t="n">
        <v>0</v>
      </c>
      <c r="R58" s="20" t="n">
        <v>0</v>
      </c>
    </row>
    <row r="59" spans="1:18">
      <c r="A59" s="15" t="s">
        <v>401</v>
      </c>
      <c r="B59" s="17" t="n">
        <v>2278</v>
      </c>
      <c r="C59" s="18">
        <f>(1910.0/B59*100)</f>
        <v/>
      </c>
      <c r="D59" s="19" t="n">
        <v>368</v>
      </c>
      <c r="E59" s="18" t="n">
        <v>74.03900539</v>
      </c>
      <c r="F59" s="20" t="n">
        <v>3.01442152</v>
      </c>
      <c r="G59" s="18" t="n">
        <v>12.9709059</v>
      </c>
      <c r="H59" s="20" t="n">
        <v>2.30841507</v>
      </c>
      <c r="I59" s="18" t="s">
        <v>349</v>
      </c>
      <c r="J59" s="20" t="s">
        <v>349</v>
      </c>
      <c r="K59" s="18" t="n">
        <v>12.60544343</v>
      </c>
      <c r="L59" s="20" t="n">
        <v>2.02994908</v>
      </c>
      <c r="M59" s="18" t="n">
        <v>0</v>
      </c>
      <c r="N59" s="20" t="n">
        <v>0</v>
      </c>
      <c r="O59" s="18" t="n">
        <v>0.38464528</v>
      </c>
      <c r="P59" s="20" t="n">
        <v>0.38425372</v>
      </c>
      <c r="Q59" s="18" t="n">
        <v>0</v>
      </c>
      <c r="R59" s="20" t="n">
        <v>0</v>
      </c>
    </row>
    <row r="60" spans="1:18">
      <c r="A60" s="15" t="s">
        <v>402</v>
      </c>
      <c r="B60" s="17" t="n">
        <v>2451</v>
      </c>
      <c r="C60" s="18">
        <f>(2037.0/B60*100)</f>
        <v/>
      </c>
      <c r="D60" s="19" t="n">
        <v>414</v>
      </c>
      <c r="E60" s="18" t="n">
        <v>50.77540401</v>
      </c>
      <c r="F60" s="20" t="n">
        <v>2.67191863</v>
      </c>
      <c r="G60" s="18" t="n">
        <v>10.48621313</v>
      </c>
      <c r="H60" s="20" t="n">
        <v>1.59581665</v>
      </c>
      <c r="I60" s="18" t="s">
        <v>349</v>
      </c>
      <c r="J60" s="20" t="s">
        <v>349</v>
      </c>
      <c r="K60" s="18" t="n">
        <v>34.21589601</v>
      </c>
      <c r="L60" s="20" t="n">
        <v>2.57245451</v>
      </c>
      <c r="M60" s="18" t="n">
        <v>0</v>
      </c>
      <c r="N60" s="20" t="n">
        <v>0</v>
      </c>
      <c r="O60" s="18" t="n">
        <v>4.52248685</v>
      </c>
      <c r="P60" s="20" t="n">
        <v>1.35787905</v>
      </c>
      <c r="Q60" s="18" t="n">
        <v>0</v>
      </c>
      <c r="R60" s="20" t="n">
        <v>0</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(2065.0/B63*100)</f>
        <v/>
      </c>
      <c r="D63" s="19" t="n">
        <v>446</v>
      </c>
      <c r="E63" s="18" t="n">
        <v>63.82119007</v>
      </c>
      <c r="F63" s="20" t="n">
        <v>2.54702474</v>
      </c>
      <c r="G63" s="18" t="n">
        <v>16.60596579</v>
      </c>
      <c r="H63" s="20" t="n">
        <v>1.85573029</v>
      </c>
      <c r="I63" s="18" t="s">
        <v>349</v>
      </c>
      <c r="J63" s="20" t="s">
        <v>349</v>
      </c>
      <c r="K63" s="18" t="n">
        <v>19.19975676</v>
      </c>
      <c r="L63" s="20" t="n">
        <v>2.06121566</v>
      </c>
      <c r="M63" s="18" t="n">
        <v>0</v>
      </c>
      <c r="N63" s="20" t="n">
        <v>0</v>
      </c>
      <c r="O63" s="18" t="n">
        <v>0.37308738</v>
      </c>
      <c r="P63" s="20" t="n">
        <v>0.23261483</v>
      </c>
      <c r="Q63" s="18" t="n">
        <v>0</v>
      </c>
      <c r="R63" s="20" t="n">
        <v>0</v>
      </c>
    </row>
    <row r="64" spans="1:18">
      <c r="A64" s="15" t="s">
        <v>406</v>
      </c>
      <c r="B64" s="17" t="n">
        <v>1790</v>
      </c>
      <c r="C64" s="18">
        <f>(1496.0/B64*100)</f>
        <v/>
      </c>
      <c r="D64" s="19" t="n">
        <v>294</v>
      </c>
      <c r="E64" s="18" t="n">
        <v>60.5092058</v>
      </c>
      <c r="F64" s="20" t="n">
        <v>2.71986991</v>
      </c>
      <c r="G64" s="18" t="n">
        <v>30.24243584</v>
      </c>
      <c r="H64" s="20" t="n">
        <v>2.89197912</v>
      </c>
      <c r="I64" s="18" t="s">
        <v>349</v>
      </c>
      <c r="J64" s="20" t="s">
        <v>349</v>
      </c>
      <c r="K64" s="18" t="n">
        <v>7.37941082</v>
      </c>
      <c r="L64" s="20" t="n">
        <v>1.74036044</v>
      </c>
      <c r="M64" s="18" t="n">
        <v>0.36396216</v>
      </c>
      <c r="N64" s="20" t="n">
        <v>0.26364875</v>
      </c>
      <c r="O64" s="18" t="n">
        <v>1.50498537</v>
      </c>
      <c r="P64" s="20" t="n">
        <v>0.73628768</v>
      </c>
      <c r="Q64" s="18" t="n">
        <v>0</v>
      </c>
      <c r="R64" s="20" t="n">
        <v>0</v>
      </c>
    </row>
    <row r="65" spans="1:18">
      <c r="A65" s="15" t="s">
        <v>407</v>
      </c>
      <c r="B65" s="17" t="n">
        <v>2634</v>
      </c>
      <c r="C65" s="18">
        <f>(2193.0/B65*100)</f>
        <v/>
      </c>
      <c r="D65" s="19" t="n">
        <v>441</v>
      </c>
      <c r="E65" s="18" t="n">
        <v>54.12450084</v>
      </c>
      <c r="F65" s="20" t="n">
        <v>2.99068134</v>
      </c>
      <c r="G65" s="18" t="n">
        <v>20.55422424</v>
      </c>
      <c r="H65" s="20" t="n">
        <v>2.6646034</v>
      </c>
      <c r="I65" s="18" t="s">
        <v>349</v>
      </c>
      <c r="J65" s="20" t="s">
        <v>349</v>
      </c>
      <c r="K65" s="18" t="n">
        <v>24.21771842</v>
      </c>
      <c r="L65" s="20" t="n">
        <v>2.06130516</v>
      </c>
      <c r="M65" s="18" t="n">
        <v>1.1035565</v>
      </c>
      <c r="N65" s="20" t="n">
        <v>0.81910649</v>
      </c>
      <c r="O65" s="18" t="n">
        <v>0</v>
      </c>
      <c r="P65" s="20" t="n">
        <v>0</v>
      </c>
      <c r="Q65" s="18" t="n">
        <v>0</v>
      </c>
      <c r="R65" s="20" t="n">
        <v>0</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(2054.0/B69*100)</f>
        <v/>
      </c>
      <c r="D69" s="19" t="n">
        <v>412</v>
      </c>
      <c r="E69" s="18" t="n">
        <v>82.05089137</v>
      </c>
      <c r="F69" s="20" t="n">
        <v>2.12641246</v>
      </c>
      <c r="G69" s="18" t="n">
        <v>13.67092666</v>
      </c>
      <c r="H69" s="20" t="n">
        <v>1.82343394</v>
      </c>
      <c r="I69" s="18" t="s">
        <v>349</v>
      </c>
      <c r="J69" s="20" t="s">
        <v>349</v>
      </c>
      <c r="K69" s="18" t="n">
        <v>4.09221001</v>
      </c>
      <c r="L69" s="20" t="n">
        <v>0.93497578</v>
      </c>
      <c r="M69" s="18" t="n">
        <v>0</v>
      </c>
      <c r="N69" s="20" t="n">
        <v>0</v>
      </c>
      <c r="O69" s="18" t="n">
        <v>0.18597196</v>
      </c>
      <c r="P69" s="20" t="n">
        <v>0.18688105</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62.84166883</v>
      </c>
      <c r="F74" s="20" t="n">
        <v>2.18782732</v>
      </c>
      <c r="G74" s="18" t="n">
        <v>18.23275176</v>
      </c>
      <c r="H74" s="20" t="n">
        <v>2.02082253</v>
      </c>
      <c r="I74" s="18" t="s">
        <v>349</v>
      </c>
      <c r="J74" s="20" t="s">
        <v>349</v>
      </c>
      <c r="K74" s="18" t="n">
        <v>18.2656303</v>
      </c>
      <c r="L74" s="20" t="n">
        <v>1.83831595</v>
      </c>
      <c r="M74" s="18" t="n">
        <v>0</v>
      </c>
      <c r="N74" s="20" t="n">
        <v>0</v>
      </c>
      <c r="O74" s="18" t="n">
        <v>0.65994911</v>
      </c>
      <c r="P74" s="20" t="n">
        <v>0.40007661</v>
      </c>
      <c r="Q74" s="18" t="n">
        <v>0</v>
      </c>
      <c r="R74" s="20" t="n">
        <v>0</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(2539.0/B78*100)</f>
        <v/>
      </c>
      <c r="D78" s="19" t="n">
        <v>501</v>
      </c>
      <c r="E78" s="18" t="n">
        <v>71.09470306999999</v>
      </c>
      <c r="F78" s="20" t="n">
        <v>2.18383678</v>
      </c>
      <c r="G78" s="18" t="n">
        <v>26.81789759</v>
      </c>
      <c r="H78" s="20" t="n">
        <v>2.18405049</v>
      </c>
      <c r="I78" s="18" t="s">
        <v>349</v>
      </c>
      <c r="J78" s="20" t="s">
        <v>349</v>
      </c>
      <c r="K78" s="18" t="n">
        <v>0.44454176</v>
      </c>
      <c r="L78" s="20" t="n">
        <v>0.28774026</v>
      </c>
      <c r="M78" s="18" t="n">
        <v>0</v>
      </c>
      <c r="N78" s="20" t="n">
        <v>0</v>
      </c>
      <c r="O78" s="18" t="n">
        <v>1.64285759</v>
      </c>
      <c r="P78" s="20" t="n">
        <v>0.64372896</v>
      </c>
      <c r="Q78" s="18" t="n">
        <v>0</v>
      </c>
      <c r="R78" s="20" t="n">
        <v>0</v>
      </c>
    </row>
    <row customHeight="1" ht="25" r="79" spans="1:18">
      <c r="A79" s="15" t="s">
        <v>421</v>
      </c>
      <c r="B79" s="17" t="n">
        <v>870</v>
      </c>
      <c r="C79" s="18">
        <f>(722.0/B79*100)</f>
        <v/>
      </c>
      <c r="D79" s="19" t="n">
        <v>148</v>
      </c>
      <c r="E79" s="18" t="n">
        <v>58.41325661</v>
      </c>
      <c r="F79" s="20" t="n">
        <v>4.98280105</v>
      </c>
      <c r="G79" s="18" t="n">
        <v>21.41468953</v>
      </c>
      <c r="H79" s="20" t="n">
        <v>3.87860002</v>
      </c>
      <c r="I79" s="18" t="s">
        <v>349</v>
      </c>
      <c r="J79" s="20" t="s">
        <v>349</v>
      </c>
      <c r="K79" s="18" t="n">
        <v>20.17205387</v>
      </c>
      <c r="L79" s="20" t="n">
        <v>3.40396929</v>
      </c>
      <c r="M79" s="18" t="n">
        <v>0</v>
      </c>
      <c r="N79" s="20" t="n">
        <v>0</v>
      </c>
      <c r="O79" s="18" t="n">
        <v>0</v>
      </c>
      <c r="P79" s="20" t="n">
        <v>0</v>
      </c>
      <c r="Q79" s="18" t="n">
        <v>0</v>
      </c>
      <c r="R79" s="20" t="n">
        <v>0</v>
      </c>
    </row>
    <row r="80" spans="1:18">
      <c r="A80" s="15" t="s">
        <v>422</v>
      </c>
      <c r="B80" s="17" t="n">
        <v>4043</v>
      </c>
      <c r="C80" s="18">
        <f>(3358.0/B80*100)</f>
        <v/>
      </c>
      <c r="D80" s="19" t="n">
        <v>685</v>
      </c>
      <c r="E80" s="18" t="n">
        <v>55.1362438</v>
      </c>
      <c r="F80" s="20" t="n">
        <v>2.78216893</v>
      </c>
      <c r="G80" s="18" t="n">
        <v>44.2824786</v>
      </c>
      <c r="H80" s="20" t="n">
        <v>2.82295339</v>
      </c>
      <c r="I80" s="18" t="s">
        <v>349</v>
      </c>
      <c r="J80" s="20" t="s">
        <v>349</v>
      </c>
      <c r="K80" s="18" t="n">
        <v>0.56157587</v>
      </c>
      <c r="L80" s="20" t="n">
        <v>0.26176014</v>
      </c>
      <c r="M80" s="18" t="n">
        <v>0.01970173</v>
      </c>
      <c r="N80" s="20" t="n">
        <v>0.01124259</v>
      </c>
      <c r="O80" s="18" t="n">
        <v>0</v>
      </c>
      <c r="P80" s="20" t="n">
        <v>0</v>
      </c>
      <c r="Q80" s="18" t="n">
        <v>0</v>
      </c>
      <c r="R80" s="20" t="n">
        <v>0</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(2257.0/B44*100)</f>
        <v/>
      </c>
      <c r="D44" s="19" t="n">
        <v>434</v>
      </c>
      <c r="E44" s="18" t="n">
        <v>54.13297783</v>
      </c>
      <c r="F44" s="20" t="n">
        <v>2.78422691</v>
      </c>
      <c r="G44" s="18" t="n">
        <v>29.53594266</v>
      </c>
      <c r="H44" s="20" t="n">
        <v>2.77912326</v>
      </c>
      <c r="I44" s="18" t="s">
        <v>349</v>
      </c>
      <c r="J44" s="20" t="s">
        <v>349</v>
      </c>
      <c r="K44" s="18" t="n">
        <v>2.15483274</v>
      </c>
      <c r="L44" s="20" t="n">
        <v>0.8065497700000001</v>
      </c>
      <c r="M44" s="18" t="n">
        <v>0</v>
      </c>
      <c r="N44" s="20" t="n">
        <v>0</v>
      </c>
      <c r="O44" s="18" t="n">
        <v>0.20064205</v>
      </c>
      <c r="P44" s="20" t="n">
        <v>0.20258386</v>
      </c>
      <c r="Q44" s="18" t="n">
        <v>13.97560472</v>
      </c>
      <c r="R44" s="20" t="n">
        <v>2.28957621</v>
      </c>
    </row>
    <row r="45" spans="1:18">
      <c r="A45" s="15" t="s">
        <v>387</v>
      </c>
      <c r="B45" s="17" t="n">
        <v>2670</v>
      </c>
      <c r="C45" s="18">
        <f>(2190.0/B45*100)</f>
        <v/>
      </c>
      <c r="D45" s="19" t="n">
        <v>480</v>
      </c>
      <c r="E45" s="18" t="n">
        <v>63.15488789</v>
      </c>
      <c r="F45" s="20" t="n">
        <v>2.50357487</v>
      </c>
      <c r="G45" s="18" t="n">
        <v>20.05158871</v>
      </c>
      <c r="H45" s="20" t="n">
        <v>2.16748351</v>
      </c>
      <c r="I45" s="18" t="s">
        <v>349</v>
      </c>
      <c r="J45" s="20" t="s">
        <v>349</v>
      </c>
      <c r="K45" s="18" t="n">
        <v>5.5566966</v>
      </c>
      <c r="L45" s="20" t="n">
        <v>1.2120297</v>
      </c>
      <c r="M45" s="18" t="n">
        <v>0.74487642</v>
      </c>
      <c r="N45" s="20" t="n">
        <v>0.38627171</v>
      </c>
      <c r="O45" s="18" t="n">
        <v>1.2442565</v>
      </c>
      <c r="P45" s="20" t="n">
        <v>0.49164293</v>
      </c>
      <c r="Q45" s="18" t="n">
        <v>9.247693870000001</v>
      </c>
      <c r="R45" s="20" t="n">
        <v>1.44560947</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(2768.0/B49*100)</f>
        <v/>
      </c>
      <c r="D49" s="19" t="n">
        <v>563</v>
      </c>
      <c r="E49" s="18" t="n">
        <v>49.69375682</v>
      </c>
      <c r="F49" s="20" t="n">
        <v>2.52100463</v>
      </c>
      <c r="G49" s="18" t="n">
        <v>43.79290294</v>
      </c>
      <c r="H49" s="20" t="n">
        <v>2.39330022</v>
      </c>
      <c r="I49" s="18" t="s">
        <v>349</v>
      </c>
      <c r="J49" s="20" t="s">
        <v>349</v>
      </c>
      <c r="K49" s="18" t="n">
        <v>1.34822332</v>
      </c>
      <c r="L49" s="20" t="n">
        <v>0.40918507</v>
      </c>
      <c r="M49" s="18" t="n">
        <v>0</v>
      </c>
      <c r="N49" s="20" t="n">
        <v>0</v>
      </c>
      <c r="O49" s="18" t="n">
        <v>0.37742231</v>
      </c>
      <c r="P49" s="20" t="n">
        <v>0.2807981</v>
      </c>
      <c r="Q49" s="18" t="n">
        <v>4.78769461</v>
      </c>
      <c r="R49" s="20" t="n">
        <v>1.19623936</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(2137.0/B55*100)</f>
        <v/>
      </c>
      <c r="D55" s="19" t="n">
        <v>420</v>
      </c>
      <c r="E55" s="18" t="n">
        <v>60.05725355</v>
      </c>
      <c r="F55" s="20" t="n">
        <v>2.4620651</v>
      </c>
      <c r="G55" s="18" t="n">
        <v>31.98011655</v>
      </c>
      <c r="H55" s="20" t="n">
        <v>2.42990613</v>
      </c>
      <c r="I55" s="18" t="s">
        <v>349</v>
      </c>
      <c r="J55" s="20" t="s">
        <v>349</v>
      </c>
      <c r="K55" s="18" t="n">
        <v>1.30948942</v>
      </c>
      <c r="L55" s="20" t="n">
        <v>0.52355997</v>
      </c>
      <c r="M55" s="18" t="n">
        <v>0</v>
      </c>
      <c r="N55" s="20" t="n">
        <v>0</v>
      </c>
      <c r="O55" s="18" t="n">
        <v>0</v>
      </c>
      <c r="P55" s="20" t="n">
        <v>0</v>
      </c>
      <c r="Q55" s="18" t="n">
        <v>6.65314049</v>
      </c>
      <c r="R55" s="20" t="n">
        <v>1.27182142</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(2769.0/B57*100)</f>
        <v/>
      </c>
      <c r="D57" s="19" t="n">
        <v>574</v>
      </c>
      <c r="E57" s="18" t="n">
        <v>65.97795655</v>
      </c>
      <c r="F57" s="20" t="n">
        <v>2.31093604</v>
      </c>
      <c r="G57" s="18" t="n">
        <v>26.21762871</v>
      </c>
      <c r="H57" s="20" t="n">
        <v>2.22248049</v>
      </c>
      <c r="I57" s="18" t="s">
        <v>349</v>
      </c>
      <c r="J57" s="20" t="s">
        <v>349</v>
      </c>
      <c r="K57" s="18" t="n">
        <v>2.44298801</v>
      </c>
      <c r="L57" s="20" t="n">
        <v>0.5964793900000001</v>
      </c>
      <c r="M57" s="18" t="n">
        <v>0.236577</v>
      </c>
      <c r="N57" s="20" t="n">
        <v>0.23586564</v>
      </c>
      <c r="O57" s="18" t="n">
        <v>0</v>
      </c>
      <c r="P57" s="20" t="n">
        <v>0</v>
      </c>
      <c r="Q57" s="18" t="n">
        <v>5.12484973</v>
      </c>
      <c r="R57" s="20" t="n">
        <v>1.14635414</v>
      </c>
    </row>
    <row r="58" spans="1:18">
      <c r="A58" s="15" t="s">
        <v>400</v>
      </c>
      <c r="B58" s="17" t="n">
        <v>3737</v>
      </c>
      <c r="C58" s="18">
        <f>(3104.0/B58*100)</f>
        <v/>
      </c>
      <c r="D58" s="19" t="n">
        <v>633</v>
      </c>
      <c r="E58" s="18" t="n">
        <v>63.55866885</v>
      </c>
      <c r="F58" s="20" t="n">
        <v>2.36964428</v>
      </c>
      <c r="G58" s="18" t="n">
        <v>27.80301908</v>
      </c>
      <c r="H58" s="20" t="n">
        <v>2.14215424</v>
      </c>
      <c r="I58" s="18" t="s">
        <v>349</v>
      </c>
      <c r="J58" s="20" t="s">
        <v>349</v>
      </c>
      <c r="K58" s="18" t="n">
        <v>1.21156158</v>
      </c>
      <c r="L58" s="20" t="n">
        <v>0.44175396</v>
      </c>
      <c r="M58" s="18" t="n">
        <v>0</v>
      </c>
      <c r="N58" s="20" t="n">
        <v>0</v>
      </c>
      <c r="O58" s="18" t="n">
        <v>0.69755977</v>
      </c>
      <c r="P58" s="20" t="n">
        <v>0.35988121</v>
      </c>
      <c r="Q58" s="18" t="n">
        <v>6.72919072</v>
      </c>
      <c r="R58" s="20" t="n">
        <v>1.38318678</v>
      </c>
    </row>
    <row r="59" spans="1:18">
      <c r="A59" s="15" t="s">
        <v>401</v>
      </c>
      <c r="B59" s="17" t="n">
        <v>2278</v>
      </c>
      <c r="C59" s="18">
        <f>(1900.0/B59*100)</f>
        <v/>
      </c>
      <c r="D59" s="19" t="n">
        <v>378</v>
      </c>
      <c r="E59" s="18" t="n">
        <v>71.24853142000001</v>
      </c>
      <c r="F59" s="20" t="n">
        <v>2.83933338</v>
      </c>
      <c r="G59" s="18" t="n">
        <v>24.61700115</v>
      </c>
      <c r="H59" s="20" t="n">
        <v>2.92529539</v>
      </c>
      <c r="I59" s="18" t="s">
        <v>349</v>
      </c>
      <c r="J59" s="20" t="s">
        <v>349</v>
      </c>
      <c r="K59" s="18" t="n">
        <v>0.89824497</v>
      </c>
      <c r="L59" s="20" t="n">
        <v>0.52210527</v>
      </c>
      <c r="M59" s="18" t="n">
        <v>0</v>
      </c>
      <c r="N59" s="20" t="n">
        <v>0</v>
      </c>
      <c r="O59" s="18" t="n">
        <v>0</v>
      </c>
      <c r="P59" s="20" t="n">
        <v>0</v>
      </c>
      <c r="Q59" s="18" t="n">
        <v>3.23622245</v>
      </c>
      <c r="R59" s="20" t="n">
        <v>0.91995243</v>
      </c>
    </row>
    <row r="60" spans="1:18">
      <c r="A60" s="15" t="s">
        <v>402</v>
      </c>
      <c r="B60" s="17" t="n">
        <v>2451</v>
      </c>
      <c r="C60" s="18">
        <f>(2028.0/B60*100)</f>
        <v/>
      </c>
      <c r="D60" s="19" t="n">
        <v>423</v>
      </c>
      <c r="E60" s="18" t="n">
        <v>48.58530299</v>
      </c>
      <c r="F60" s="20" t="n">
        <v>2.8859272</v>
      </c>
      <c r="G60" s="18" t="n">
        <v>35.10048475</v>
      </c>
      <c r="H60" s="20" t="n">
        <v>2.31254625</v>
      </c>
      <c r="I60" s="18" t="s">
        <v>349</v>
      </c>
      <c r="J60" s="20" t="s">
        <v>349</v>
      </c>
      <c r="K60" s="18" t="n">
        <v>3.87248207</v>
      </c>
      <c r="L60" s="20" t="n">
        <v>1.1934526</v>
      </c>
      <c r="M60" s="18" t="n">
        <v>0</v>
      </c>
      <c r="N60" s="20" t="n">
        <v>0</v>
      </c>
      <c r="O60" s="18" t="n">
        <v>0.43789367</v>
      </c>
      <c r="P60" s="20" t="n">
        <v>0.43860938</v>
      </c>
      <c r="Q60" s="18" t="n">
        <v>12.00383652</v>
      </c>
      <c r="R60" s="20" t="n">
        <v>1.98524379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(2093.0/B63*100)</f>
        <v/>
      </c>
      <c r="D63" s="19" t="n">
        <v>418</v>
      </c>
      <c r="E63" s="18" t="n">
        <v>59.71638103</v>
      </c>
      <c r="F63" s="20" t="n">
        <v>2.62111984</v>
      </c>
      <c r="G63" s="18" t="n">
        <v>29.5881611</v>
      </c>
      <c r="H63" s="20" t="n">
        <v>2.54508398</v>
      </c>
      <c r="I63" s="18" t="s">
        <v>349</v>
      </c>
      <c r="J63" s="20" t="s">
        <v>349</v>
      </c>
      <c r="K63" s="18" t="n">
        <v>1.66492544</v>
      </c>
      <c r="L63" s="20" t="n">
        <v>0.56657453</v>
      </c>
      <c r="M63" s="18" t="n">
        <v>0</v>
      </c>
      <c r="N63" s="20" t="n">
        <v>0</v>
      </c>
      <c r="O63" s="18" t="n">
        <v>0</v>
      </c>
      <c r="P63" s="20" t="n">
        <v>0</v>
      </c>
      <c r="Q63" s="18" t="n">
        <v>9.030532429999999</v>
      </c>
      <c r="R63" s="20" t="n">
        <v>1.35518066</v>
      </c>
    </row>
    <row r="64" spans="1:18">
      <c r="A64" s="15" t="s">
        <v>406</v>
      </c>
      <c r="B64" s="17" t="n">
        <v>1790</v>
      </c>
      <c r="C64" s="18">
        <f>(1487.0/B64*100)</f>
        <v/>
      </c>
      <c r="D64" s="19" t="n">
        <v>303</v>
      </c>
      <c r="E64" s="18" t="n">
        <v>44.71717753</v>
      </c>
      <c r="F64" s="20" t="n">
        <v>2.758736</v>
      </c>
      <c r="G64" s="18" t="n">
        <v>49.24128281</v>
      </c>
      <c r="H64" s="20" t="n">
        <v>2.51657858</v>
      </c>
      <c r="I64" s="18" t="s">
        <v>349</v>
      </c>
      <c r="J64" s="20" t="s">
        <v>349</v>
      </c>
      <c r="K64" s="18" t="n">
        <v>2.7999478</v>
      </c>
      <c r="L64" s="20" t="n">
        <v>1.09833982</v>
      </c>
      <c r="M64" s="18" t="n">
        <v>0</v>
      </c>
      <c r="N64" s="20" t="n">
        <v>0</v>
      </c>
      <c r="O64" s="18" t="n">
        <v>0.30137578</v>
      </c>
      <c r="P64" s="20" t="n">
        <v>0.30244138</v>
      </c>
      <c r="Q64" s="18" t="n">
        <v>2.94021607</v>
      </c>
      <c r="R64" s="20" t="n">
        <v>1.04774299</v>
      </c>
    </row>
    <row r="65" spans="1:18">
      <c r="A65" s="15" t="s">
        <v>407</v>
      </c>
      <c r="B65" s="17" t="n">
        <v>2634</v>
      </c>
      <c r="C65" s="18">
        <f>(2205.0/B65*100)</f>
        <v/>
      </c>
      <c r="D65" s="19" t="n">
        <v>429</v>
      </c>
      <c r="E65" s="18" t="n">
        <v>45.30401415</v>
      </c>
      <c r="F65" s="20" t="n">
        <v>3.06123821</v>
      </c>
      <c r="G65" s="18" t="n">
        <v>43.36594223</v>
      </c>
      <c r="H65" s="20" t="n">
        <v>2.78512112</v>
      </c>
      <c r="I65" s="18" t="s">
        <v>349</v>
      </c>
      <c r="J65" s="20" t="s">
        <v>349</v>
      </c>
      <c r="K65" s="18" t="n">
        <v>5.01006109</v>
      </c>
      <c r="L65" s="20" t="n">
        <v>1.45231326</v>
      </c>
      <c r="M65" s="18" t="n">
        <v>0.43622799</v>
      </c>
      <c r="N65" s="20" t="n">
        <v>0.30645792</v>
      </c>
      <c r="O65" s="18" t="n">
        <v>0</v>
      </c>
      <c r="P65" s="20" t="n">
        <v>0</v>
      </c>
      <c r="Q65" s="18" t="n">
        <v>5.88375454</v>
      </c>
      <c r="R65" s="20" t="n">
        <v>1.12071708</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(2059.0/B69*100)</f>
        <v/>
      </c>
      <c r="D69" s="19" t="n">
        <v>407</v>
      </c>
      <c r="E69" s="18" t="n">
        <v>66.37680829</v>
      </c>
      <c r="F69" s="20" t="n">
        <v>2.6797529</v>
      </c>
      <c r="G69" s="18" t="n">
        <v>33.1485145</v>
      </c>
      <c r="H69" s="20" t="n">
        <v>2.66596338</v>
      </c>
      <c r="I69" s="18" t="s">
        <v>349</v>
      </c>
      <c r="J69" s="20" t="s">
        <v>349</v>
      </c>
      <c r="K69" s="18" t="n">
        <v>0</v>
      </c>
      <c r="L69" s="20" t="n">
        <v>0</v>
      </c>
      <c r="M69" s="18" t="n">
        <v>0</v>
      </c>
      <c r="N69" s="20" t="n">
        <v>0</v>
      </c>
      <c r="O69" s="18" t="n">
        <v>0</v>
      </c>
      <c r="P69" s="20" t="n">
        <v>0</v>
      </c>
      <c r="Q69" s="18" t="n">
        <v>0.47467721</v>
      </c>
      <c r="R69" s="20" t="n">
        <v>0.33768909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(2041.0/B74*100)</f>
        <v/>
      </c>
      <c r="D74" s="19" t="n">
        <v>412</v>
      </c>
      <c r="E74" s="18" t="n">
        <v>52.5485652</v>
      </c>
      <c r="F74" s="20" t="n">
        <v>2.55849438</v>
      </c>
      <c r="G74" s="18" t="n">
        <v>40.27693651</v>
      </c>
      <c r="H74" s="20" t="n">
        <v>2.40029893</v>
      </c>
      <c r="I74" s="18" t="s">
        <v>349</v>
      </c>
      <c r="J74" s="20" t="s">
        <v>349</v>
      </c>
      <c r="K74" s="18" t="n">
        <v>2.95911144</v>
      </c>
      <c r="L74" s="20" t="n">
        <v>0.75813855</v>
      </c>
      <c r="M74" s="18" t="n">
        <v>0</v>
      </c>
      <c r="N74" s="20" t="n">
        <v>0</v>
      </c>
      <c r="O74" s="18" t="n">
        <v>0</v>
      </c>
      <c r="P74" s="20" t="n">
        <v>0</v>
      </c>
      <c r="Q74" s="18" t="n">
        <v>4.21538685</v>
      </c>
      <c r="R74" s="20" t="n">
        <v>1.13644671</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(2533.0/B78*100)</f>
        <v/>
      </c>
      <c r="D78" s="19" t="n">
        <v>507</v>
      </c>
      <c r="E78" s="18" t="n">
        <v>32.69235915</v>
      </c>
      <c r="F78" s="20" t="n">
        <v>2.44422064</v>
      </c>
      <c r="G78" s="18" t="n">
        <v>67.07876099000001</v>
      </c>
      <c r="H78" s="20" t="n">
        <v>2.48737091</v>
      </c>
      <c r="I78" s="18" t="s">
        <v>349</v>
      </c>
      <c r="J78" s="20" t="s">
        <v>349</v>
      </c>
      <c r="K78" s="18" t="n">
        <v>0</v>
      </c>
      <c r="L78" s="20" t="n">
        <v>0</v>
      </c>
      <c r="M78" s="18" t="n">
        <v>0</v>
      </c>
      <c r="N78" s="20" t="n">
        <v>0</v>
      </c>
      <c r="O78" s="18" t="n">
        <v>0</v>
      </c>
      <c r="P78" s="20" t="n">
        <v>0</v>
      </c>
      <c r="Q78" s="18" t="n">
        <v>0.22887986</v>
      </c>
      <c r="R78" s="20" t="n">
        <v>0.22930183</v>
      </c>
    </row>
    <row customHeight="1" ht="25" r="79" spans="1:18">
      <c r="A79" s="15" t="s">
        <v>421</v>
      </c>
      <c r="B79" s="17" t="n">
        <v>870</v>
      </c>
      <c r="C79" s="18">
        <f>(727.0/B79*100)</f>
        <v/>
      </c>
      <c r="D79" s="19" t="n">
        <v>143</v>
      </c>
      <c r="E79" s="18" t="n">
        <v>52.23188472</v>
      </c>
      <c r="F79" s="20" t="n">
        <v>3.50584981</v>
      </c>
      <c r="G79" s="18" t="n">
        <v>36.99712731</v>
      </c>
      <c r="H79" s="20" t="n">
        <v>3.68424372</v>
      </c>
      <c r="I79" s="18" t="s">
        <v>349</v>
      </c>
      <c r="J79" s="20" t="s">
        <v>349</v>
      </c>
      <c r="K79" s="18" t="n">
        <v>3.68882903</v>
      </c>
      <c r="L79" s="20" t="n">
        <v>1.59322692</v>
      </c>
      <c r="M79" s="18" t="n">
        <v>0</v>
      </c>
      <c r="N79" s="20" t="n">
        <v>0</v>
      </c>
      <c r="O79" s="18" t="n">
        <v>0</v>
      </c>
      <c r="P79" s="20" t="n">
        <v>0</v>
      </c>
      <c r="Q79" s="18" t="n">
        <v>7.08215894</v>
      </c>
      <c r="R79" s="20" t="n">
        <v>2.04266037</v>
      </c>
    </row>
    <row r="80" spans="1:18">
      <c r="A80" s="15" t="s">
        <v>422</v>
      </c>
      <c r="B80" s="17" t="n">
        <v>4043</v>
      </c>
      <c r="C80" s="18">
        <f>(3371.0/B80*100)</f>
        <v/>
      </c>
      <c r="D80" s="19" t="n">
        <v>672</v>
      </c>
      <c r="E80" s="18" t="n">
        <v>56.924231</v>
      </c>
      <c r="F80" s="20" t="n">
        <v>2.87205351</v>
      </c>
      <c r="G80" s="18" t="n">
        <v>42.76501668</v>
      </c>
      <c r="H80" s="20" t="n">
        <v>2.87514895</v>
      </c>
      <c r="I80" s="18" t="s">
        <v>349</v>
      </c>
      <c r="J80" s="20" t="s">
        <v>349</v>
      </c>
      <c r="K80" s="18" t="n">
        <v>0</v>
      </c>
      <c r="L80" s="20" t="n">
        <v>0</v>
      </c>
      <c r="M80" s="18" t="n">
        <v>0</v>
      </c>
      <c r="N80" s="20" t="n">
        <v>0</v>
      </c>
      <c r="O80" s="18" t="n">
        <v>0</v>
      </c>
      <c r="P80" s="20" t="n">
        <v>0</v>
      </c>
      <c r="Q80" s="18" t="n">
        <v>0.31075231</v>
      </c>
      <c r="R80" s="20" t="n">
        <v>0.22533702</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(2257.0/B44*100)</f>
        <v/>
      </c>
      <c r="D44" s="19" t="n">
        <v>434</v>
      </c>
      <c r="E44" s="18" t="n">
        <v>67.02167882000001</v>
      </c>
      <c r="F44" s="20" t="n">
        <v>2.88935331</v>
      </c>
      <c r="G44" s="18" t="n">
        <v>25.37484623</v>
      </c>
      <c r="H44" s="20" t="n">
        <v>2.49994446</v>
      </c>
      <c r="I44" s="18" t="s">
        <v>349</v>
      </c>
      <c r="J44" s="20" t="s">
        <v>349</v>
      </c>
      <c r="K44" s="18" t="n">
        <v>2.15483274</v>
      </c>
      <c r="L44" s="20" t="n">
        <v>0.8065497700000001</v>
      </c>
      <c r="M44" s="18" t="n">
        <v>0</v>
      </c>
      <c r="N44" s="20" t="n">
        <v>0</v>
      </c>
      <c r="O44" s="18" t="n">
        <v>0</v>
      </c>
      <c r="P44" s="20" t="n">
        <v>0</v>
      </c>
      <c r="Q44" s="18" t="n">
        <v>5.44864221</v>
      </c>
      <c r="R44" s="20" t="n">
        <v>1.21627356</v>
      </c>
    </row>
    <row r="45" spans="1:18">
      <c r="A45" s="15" t="s">
        <v>387</v>
      </c>
      <c r="B45" s="17" t="n">
        <v>2670</v>
      </c>
      <c r="C45" s="18">
        <f>(2190.0/B45*100)</f>
        <v/>
      </c>
      <c r="D45" s="19" t="n">
        <v>480</v>
      </c>
      <c r="E45" s="18" t="n">
        <v>78.35324554</v>
      </c>
      <c r="F45" s="20" t="n">
        <v>2.12809915</v>
      </c>
      <c r="G45" s="18" t="n">
        <v>12.24340844</v>
      </c>
      <c r="H45" s="20" t="n">
        <v>1.64262254</v>
      </c>
      <c r="I45" s="18" t="s">
        <v>349</v>
      </c>
      <c r="J45" s="20" t="s">
        <v>349</v>
      </c>
      <c r="K45" s="18" t="n">
        <v>5.5566966</v>
      </c>
      <c r="L45" s="20" t="n">
        <v>1.2120297</v>
      </c>
      <c r="M45" s="18" t="n">
        <v>0</v>
      </c>
      <c r="N45" s="20" t="n">
        <v>0</v>
      </c>
      <c r="O45" s="18" t="n">
        <v>0</v>
      </c>
      <c r="P45" s="20" t="n">
        <v>0</v>
      </c>
      <c r="Q45" s="18" t="n">
        <v>3.84664943</v>
      </c>
      <c r="R45" s="20" t="n">
        <v>0.98911419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(2768.0/B49*100)</f>
        <v/>
      </c>
      <c r="D49" s="19" t="n">
        <v>563</v>
      </c>
      <c r="E49" s="18" t="n">
        <v>67.47791827</v>
      </c>
      <c r="F49" s="20" t="n">
        <v>2.49084658</v>
      </c>
      <c r="G49" s="18" t="n">
        <v>29.39848426</v>
      </c>
      <c r="H49" s="20" t="n">
        <v>2.45114245</v>
      </c>
      <c r="I49" s="18" t="s">
        <v>349</v>
      </c>
      <c r="J49" s="20" t="s">
        <v>349</v>
      </c>
      <c r="K49" s="18" t="n">
        <v>1.34822332</v>
      </c>
      <c r="L49" s="20" t="n">
        <v>0.40918507</v>
      </c>
      <c r="M49" s="18" t="n">
        <v>0</v>
      </c>
      <c r="N49" s="20" t="n">
        <v>0</v>
      </c>
      <c r="O49" s="18" t="n">
        <v>0</v>
      </c>
      <c r="P49" s="20" t="n">
        <v>0</v>
      </c>
      <c r="Q49" s="18" t="n">
        <v>1.77537415</v>
      </c>
      <c r="R49" s="20" t="n">
        <v>0.5927585</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(2137.0/B55*100)</f>
        <v/>
      </c>
      <c r="D55" s="19" t="n">
        <v>420</v>
      </c>
      <c r="E55" s="18" t="n">
        <v>60.57960883</v>
      </c>
      <c r="F55" s="20" t="n">
        <v>2.70045699</v>
      </c>
      <c r="G55" s="18" t="n">
        <v>34.7444156</v>
      </c>
      <c r="H55" s="20" t="n">
        <v>2.51450758</v>
      </c>
      <c r="I55" s="18" t="s">
        <v>349</v>
      </c>
      <c r="J55" s="20" t="s">
        <v>349</v>
      </c>
      <c r="K55" s="18" t="n">
        <v>1.30948942</v>
      </c>
      <c r="L55" s="20" t="n">
        <v>0.52355997</v>
      </c>
      <c r="M55" s="18" t="n">
        <v>0</v>
      </c>
      <c r="N55" s="20" t="n">
        <v>0</v>
      </c>
      <c r="O55" s="18" t="n">
        <v>0</v>
      </c>
      <c r="P55" s="20" t="n">
        <v>0</v>
      </c>
      <c r="Q55" s="18" t="n">
        <v>3.36648615</v>
      </c>
      <c r="R55" s="20" t="n">
        <v>0.8065428100000001</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(2769.0/B57*100)</f>
        <v/>
      </c>
      <c r="D57" s="19" t="n">
        <v>574</v>
      </c>
      <c r="E57" s="18" t="n">
        <v>73.70825505000001</v>
      </c>
      <c r="F57" s="20" t="n">
        <v>1.71108622</v>
      </c>
      <c r="G57" s="18" t="n">
        <v>20.98426215</v>
      </c>
      <c r="H57" s="20" t="n">
        <v>1.73869487</v>
      </c>
      <c r="I57" s="18" t="s">
        <v>349</v>
      </c>
      <c r="J57" s="20" t="s">
        <v>349</v>
      </c>
      <c r="K57" s="18" t="n">
        <v>2.8315538</v>
      </c>
      <c r="L57" s="20" t="n">
        <v>0.64352968</v>
      </c>
      <c r="M57" s="18" t="n">
        <v>0</v>
      </c>
      <c r="N57" s="20" t="n">
        <v>0</v>
      </c>
      <c r="O57" s="18" t="n">
        <v>0.29665229</v>
      </c>
      <c r="P57" s="20" t="n">
        <v>0.20772483</v>
      </c>
      <c r="Q57" s="18" t="n">
        <v>2.17927671</v>
      </c>
      <c r="R57" s="20" t="n">
        <v>0.60400673</v>
      </c>
    </row>
    <row r="58" spans="1:18">
      <c r="A58" s="15" t="s">
        <v>400</v>
      </c>
      <c r="B58" s="17" t="n">
        <v>3737</v>
      </c>
      <c r="C58" s="18">
        <f>(3104.0/B58*100)</f>
        <v/>
      </c>
      <c r="D58" s="19" t="n">
        <v>633</v>
      </c>
      <c r="E58" s="18" t="n">
        <v>78.79752779</v>
      </c>
      <c r="F58" s="20" t="n">
        <v>1.99987674</v>
      </c>
      <c r="G58" s="18" t="n">
        <v>18.37034949</v>
      </c>
      <c r="H58" s="20" t="n">
        <v>1.91487511</v>
      </c>
      <c r="I58" s="18" t="s">
        <v>349</v>
      </c>
      <c r="J58" s="20" t="s">
        <v>349</v>
      </c>
      <c r="K58" s="18" t="n">
        <v>1.21156158</v>
      </c>
      <c r="L58" s="20" t="n">
        <v>0.44175396</v>
      </c>
      <c r="M58" s="18" t="n">
        <v>0</v>
      </c>
      <c r="N58" s="20" t="n">
        <v>0</v>
      </c>
      <c r="O58" s="18" t="n">
        <v>0.13116151</v>
      </c>
      <c r="P58" s="20" t="n">
        <v>0.13150706</v>
      </c>
      <c r="Q58" s="18" t="n">
        <v>1.48939964</v>
      </c>
      <c r="R58" s="20" t="n">
        <v>0.51568879</v>
      </c>
    </row>
    <row r="59" spans="1:18">
      <c r="A59" s="15" t="s">
        <v>401</v>
      </c>
      <c r="B59" s="17" t="n">
        <v>2278</v>
      </c>
      <c r="C59" s="18">
        <f>(1900.0/B59*100)</f>
        <v/>
      </c>
      <c r="D59" s="19" t="n">
        <v>378</v>
      </c>
      <c r="E59" s="18" t="n">
        <v>78.6943011</v>
      </c>
      <c r="F59" s="20" t="n">
        <v>2.6045776</v>
      </c>
      <c r="G59" s="18" t="n">
        <v>18.69070348</v>
      </c>
      <c r="H59" s="20" t="n">
        <v>2.49460175</v>
      </c>
      <c r="I59" s="18" t="s">
        <v>349</v>
      </c>
      <c r="J59" s="20" t="s">
        <v>349</v>
      </c>
      <c r="K59" s="18" t="n">
        <v>0.89824497</v>
      </c>
      <c r="L59" s="20" t="n">
        <v>0.52210527</v>
      </c>
      <c r="M59" s="18" t="n">
        <v>0</v>
      </c>
      <c r="N59" s="20" t="n">
        <v>0</v>
      </c>
      <c r="O59" s="18" t="n">
        <v>0</v>
      </c>
      <c r="P59" s="20" t="n">
        <v>0</v>
      </c>
      <c r="Q59" s="18" t="n">
        <v>1.71675045</v>
      </c>
      <c r="R59" s="20" t="n">
        <v>0.61421631</v>
      </c>
    </row>
    <row r="60" spans="1:18">
      <c r="A60" s="15" t="s">
        <v>402</v>
      </c>
      <c r="B60" s="17" t="n">
        <v>2451</v>
      </c>
      <c r="C60" s="18">
        <f>(2028.0/B60*100)</f>
        <v/>
      </c>
      <c r="D60" s="19" t="n">
        <v>423</v>
      </c>
      <c r="E60" s="18" t="n">
        <v>73.47084197</v>
      </c>
      <c r="F60" s="20" t="n">
        <v>2.93921633</v>
      </c>
      <c r="G60" s="18" t="n">
        <v>14.61487319</v>
      </c>
      <c r="H60" s="20" t="n">
        <v>2.10967732</v>
      </c>
      <c r="I60" s="18" t="s">
        <v>349</v>
      </c>
      <c r="J60" s="20" t="s">
        <v>349</v>
      </c>
      <c r="K60" s="18" t="n">
        <v>3.87248207</v>
      </c>
      <c r="L60" s="20" t="n">
        <v>1.1934526</v>
      </c>
      <c r="M60" s="18" t="n">
        <v>0</v>
      </c>
      <c r="N60" s="20" t="n">
        <v>0</v>
      </c>
      <c r="O60" s="18" t="n">
        <v>0</v>
      </c>
      <c r="P60" s="20" t="n">
        <v>0</v>
      </c>
      <c r="Q60" s="18" t="n">
        <v>8.04180277</v>
      </c>
      <c r="R60" s="20" t="n">
        <v>1.16450384</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(2093.0/B63*100)</f>
        <v/>
      </c>
      <c r="D63" s="19" t="n">
        <v>418</v>
      </c>
      <c r="E63" s="18" t="n">
        <v>69.54986363</v>
      </c>
      <c r="F63" s="20" t="n">
        <v>2.62362256</v>
      </c>
      <c r="G63" s="18" t="n">
        <v>23.29504686</v>
      </c>
      <c r="H63" s="20" t="n">
        <v>2.35175312</v>
      </c>
      <c r="I63" s="18" t="s">
        <v>349</v>
      </c>
      <c r="J63" s="20" t="s">
        <v>349</v>
      </c>
      <c r="K63" s="18" t="n">
        <v>1.66492544</v>
      </c>
      <c r="L63" s="20" t="n">
        <v>0.56657453</v>
      </c>
      <c r="M63" s="18" t="n">
        <v>0</v>
      </c>
      <c r="N63" s="20" t="n">
        <v>0</v>
      </c>
      <c r="O63" s="18" t="n">
        <v>0</v>
      </c>
      <c r="P63" s="20" t="n">
        <v>0</v>
      </c>
      <c r="Q63" s="18" t="n">
        <v>5.49016407</v>
      </c>
      <c r="R63" s="20" t="n">
        <v>1.20957609</v>
      </c>
    </row>
    <row r="64" spans="1:18">
      <c r="A64" s="15" t="s">
        <v>406</v>
      </c>
      <c r="B64" s="17" t="n">
        <v>1790</v>
      </c>
      <c r="C64" s="18">
        <f>(1487.0/B64*100)</f>
        <v/>
      </c>
      <c r="D64" s="19" t="n">
        <v>303</v>
      </c>
      <c r="E64" s="18" t="n">
        <v>56.66272239</v>
      </c>
      <c r="F64" s="20" t="n">
        <v>3.23644496</v>
      </c>
      <c r="G64" s="18" t="n">
        <v>40.15044833</v>
      </c>
      <c r="H64" s="20" t="n">
        <v>2.96281224</v>
      </c>
      <c r="I64" s="18" t="s">
        <v>349</v>
      </c>
      <c r="J64" s="20" t="s">
        <v>349</v>
      </c>
      <c r="K64" s="18" t="n">
        <v>2.7999478</v>
      </c>
      <c r="L64" s="20" t="n">
        <v>1.09833982</v>
      </c>
      <c r="M64" s="18" t="n">
        <v>0</v>
      </c>
      <c r="N64" s="20" t="n">
        <v>0</v>
      </c>
      <c r="O64" s="18" t="n">
        <v>0</v>
      </c>
      <c r="P64" s="20" t="n">
        <v>0</v>
      </c>
      <c r="Q64" s="18" t="n">
        <v>0.38688148</v>
      </c>
      <c r="R64" s="20" t="n">
        <v>0.3762975</v>
      </c>
    </row>
    <row r="65" spans="1:18">
      <c r="A65" s="15" t="s">
        <v>407</v>
      </c>
      <c r="B65" s="17" t="n">
        <v>2634</v>
      </c>
      <c r="C65" s="18">
        <f>(2205.0/B65*100)</f>
        <v/>
      </c>
      <c r="D65" s="19" t="n">
        <v>429</v>
      </c>
      <c r="E65" s="18" t="n">
        <v>61.1977619</v>
      </c>
      <c r="F65" s="20" t="n">
        <v>2.36843301</v>
      </c>
      <c r="G65" s="18" t="n">
        <v>31.06916436</v>
      </c>
      <c r="H65" s="20" t="n">
        <v>2.21690816</v>
      </c>
      <c r="I65" s="18" t="s">
        <v>349</v>
      </c>
      <c r="J65" s="20" t="s">
        <v>349</v>
      </c>
      <c r="K65" s="18" t="n">
        <v>5.39758096</v>
      </c>
      <c r="L65" s="20" t="n">
        <v>1.49658268</v>
      </c>
      <c r="M65" s="18" t="n">
        <v>0</v>
      </c>
      <c r="N65" s="20" t="n">
        <v>0</v>
      </c>
      <c r="O65" s="18" t="n">
        <v>0</v>
      </c>
      <c r="P65" s="20" t="n">
        <v>0</v>
      </c>
      <c r="Q65" s="18" t="n">
        <v>2.33549279</v>
      </c>
      <c r="R65" s="20" t="n">
        <v>0.68324408</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(2059.0/B69*100)</f>
        <v/>
      </c>
      <c r="D69" s="19" t="n">
        <v>407</v>
      </c>
      <c r="E69" s="18" t="n">
        <v>77.70858489</v>
      </c>
      <c r="F69" s="20" t="n">
        <v>2.1568842</v>
      </c>
      <c r="G69" s="18" t="n">
        <v>22.29141511</v>
      </c>
      <c r="H69" s="20" t="n">
        <v>2.1568842</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(2041.0/B74*100)</f>
        <v/>
      </c>
      <c r="D74" s="19" t="n">
        <v>412</v>
      </c>
      <c r="E74" s="18" t="n">
        <v>62.50556378</v>
      </c>
      <c r="F74" s="20" t="n">
        <v>2.71580435</v>
      </c>
      <c r="G74" s="18" t="n">
        <v>32.17543214</v>
      </c>
      <c r="H74" s="20" t="n">
        <v>2.60574282</v>
      </c>
      <c r="I74" s="18" t="s">
        <v>349</v>
      </c>
      <c r="J74" s="20" t="s">
        <v>349</v>
      </c>
      <c r="K74" s="18" t="n">
        <v>3.09709814</v>
      </c>
      <c r="L74" s="20" t="n">
        <v>0.76867793</v>
      </c>
      <c r="M74" s="18" t="n">
        <v>0</v>
      </c>
      <c r="N74" s="20" t="n">
        <v>0</v>
      </c>
      <c r="O74" s="18" t="n">
        <v>0</v>
      </c>
      <c r="P74" s="20" t="n">
        <v>0</v>
      </c>
      <c r="Q74" s="18" t="n">
        <v>2.22190594</v>
      </c>
      <c r="R74" s="20" t="n">
        <v>0.75813851</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(2533.0/B78*100)</f>
        <v/>
      </c>
      <c r="D78" s="19" t="n">
        <v>507</v>
      </c>
      <c r="E78" s="18" t="n">
        <v>31.15829412</v>
      </c>
      <c r="F78" s="20" t="n">
        <v>2.40475487</v>
      </c>
      <c r="G78" s="18" t="n">
        <v>68.84170588000001</v>
      </c>
      <c r="H78" s="20" t="n">
        <v>2.40475487</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(727.0/B79*100)</f>
        <v/>
      </c>
      <c r="D79" s="19" t="n">
        <v>143</v>
      </c>
      <c r="E79" s="18" t="n">
        <v>45.33109734</v>
      </c>
      <c r="F79" s="20" t="n">
        <v>4.19354</v>
      </c>
      <c r="G79" s="18" t="n">
        <v>47.60181994</v>
      </c>
      <c r="H79" s="20" t="n">
        <v>4.61789133</v>
      </c>
      <c r="I79" s="18" t="s">
        <v>349</v>
      </c>
      <c r="J79" s="20" t="s">
        <v>349</v>
      </c>
      <c r="K79" s="18" t="n">
        <v>3.68882903</v>
      </c>
      <c r="L79" s="20" t="n">
        <v>1.59322692</v>
      </c>
      <c r="M79" s="18" t="n">
        <v>0</v>
      </c>
      <c r="N79" s="20" t="n">
        <v>0</v>
      </c>
      <c r="O79" s="18" t="n">
        <v>0</v>
      </c>
      <c r="P79" s="20" t="n">
        <v>0</v>
      </c>
      <c r="Q79" s="18" t="n">
        <v>3.37825369</v>
      </c>
      <c r="R79" s="20" t="n">
        <v>1.5992868</v>
      </c>
    </row>
    <row r="80" spans="1:18">
      <c r="A80" s="15" t="s">
        <v>422</v>
      </c>
      <c r="B80" s="17" t="n">
        <v>4043</v>
      </c>
      <c r="C80" s="18">
        <f>(3371.0/B80*100)</f>
        <v/>
      </c>
      <c r="D80" s="19" t="n">
        <v>672</v>
      </c>
      <c r="E80" s="18" t="n">
        <v>56.27186666</v>
      </c>
      <c r="F80" s="20" t="n">
        <v>3.26080138</v>
      </c>
      <c r="G80" s="18" t="n">
        <v>43.54962245</v>
      </c>
      <c r="H80" s="20" t="n">
        <v>3.29464057</v>
      </c>
      <c r="I80" s="18" t="s">
        <v>349</v>
      </c>
      <c r="J80" s="20" t="s">
        <v>349</v>
      </c>
      <c r="K80" s="18" t="n">
        <v>0</v>
      </c>
      <c r="L80" s="20" t="n">
        <v>0</v>
      </c>
      <c r="M80" s="18" t="n">
        <v>0</v>
      </c>
      <c r="N80" s="20" t="n">
        <v>0</v>
      </c>
      <c r="O80" s="18" t="n">
        <v>0</v>
      </c>
      <c r="P80" s="20" t="n">
        <v>0</v>
      </c>
      <c r="Q80" s="18" t="n">
        <v>0.17851089</v>
      </c>
      <c r="R80" s="20" t="n">
        <v>0.12830761</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(2257.0/B44*100)</f>
        <v/>
      </c>
      <c r="D44" s="19" t="n">
        <v>434</v>
      </c>
      <c r="E44" s="18" t="n">
        <v>28.94561883</v>
      </c>
      <c r="F44" s="20" t="n">
        <v>2.47963397</v>
      </c>
      <c r="G44" s="18" t="n">
        <v>38.89862488</v>
      </c>
      <c r="H44" s="20" t="n">
        <v>2.39564298</v>
      </c>
      <c r="I44" s="18" t="s">
        <v>349</v>
      </c>
      <c r="J44" s="20" t="s">
        <v>349</v>
      </c>
      <c r="K44" s="18" t="n">
        <v>2.15483274</v>
      </c>
      <c r="L44" s="20" t="n">
        <v>0.8065497700000001</v>
      </c>
      <c r="M44" s="18" t="n">
        <v>0</v>
      </c>
      <c r="N44" s="20" t="n">
        <v>0</v>
      </c>
      <c r="O44" s="18" t="n">
        <v>0</v>
      </c>
      <c r="P44" s="20" t="n">
        <v>0</v>
      </c>
      <c r="Q44" s="18" t="n">
        <v>30.00092354</v>
      </c>
      <c r="R44" s="20" t="n">
        <v>2.47988741</v>
      </c>
    </row>
    <row r="45" spans="1:18">
      <c r="A45" s="15" t="s">
        <v>387</v>
      </c>
      <c r="B45" s="17" t="n">
        <v>2670</v>
      </c>
      <c r="C45" s="18">
        <f>(2190.0/B45*100)</f>
        <v/>
      </c>
      <c r="D45" s="19" t="n">
        <v>480</v>
      </c>
      <c r="E45" s="18" t="n">
        <v>45.0876108</v>
      </c>
      <c r="F45" s="20" t="n">
        <v>2.56210058</v>
      </c>
      <c r="G45" s="18" t="n">
        <v>20.14001786</v>
      </c>
      <c r="H45" s="20" t="n">
        <v>2.32906963</v>
      </c>
      <c r="I45" s="18" t="s">
        <v>349</v>
      </c>
      <c r="J45" s="20" t="s">
        <v>349</v>
      </c>
      <c r="K45" s="18" t="n">
        <v>5.92989742</v>
      </c>
      <c r="L45" s="20" t="n">
        <v>1.20467273</v>
      </c>
      <c r="M45" s="18" t="n">
        <v>0.36876378</v>
      </c>
      <c r="N45" s="20" t="n">
        <v>0.27315756</v>
      </c>
      <c r="O45" s="18" t="n">
        <v>0.46921274</v>
      </c>
      <c r="P45" s="20" t="n">
        <v>0.32931779</v>
      </c>
      <c r="Q45" s="18" t="n">
        <v>28.0044974</v>
      </c>
      <c r="R45" s="20" t="n">
        <v>2.45983914</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(2768.0/B49*100)</f>
        <v/>
      </c>
      <c r="D49" s="19" t="n">
        <v>563</v>
      </c>
      <c r="E49" s="18" t="n">
        <v>35.08211471</v>
      </c>
      <c r="F49" s="20" t="n">
        <v>2.12749267</v>
      </c>
      <c r="G49" s="18" t="n">
        <v>48.20936313</v>
      </c>
      <c r="H49" s="20" t="n">
        <v>2.55050519</v>
      </c>
      <c r="I49" s="18" t="s">
        <v>349</v>
      </c>
      <c r="J49" s="20" t="s">
        <v>349</v>
      </c>
      <c r="K49" s="18" t="n">
        <v>1.40530075</v>
      </c>
      <c r="L49" s="20" t="n">
        <v>0.41336651</v>
      </c>
      <c r="M49" s="18" t="n">
        <v>0</v>
      </c>
      <c r="N49" s="20" t="n">
        <v>0</v>
      </c>
      <c r="O49" s="18" t="n">
        <v>0</v>
      </c>
      <c r="P49" s="20" t="n">
        <v>0</v>
      </c>
      <c r="Q49" s="18" t="n">
        <v>15.30322141</v>
      </c>
      <c r="R49" s="20" t="n">
        <v>1.88138711</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(2137.0/B55*100)</f>
        <v/>
      </c>
      <c r="D55" s="19" t="n">
        <v>420</v>
      </c>
      <c r="E55" s="18" t="n">
        <v>18.21355974</v>
      </c>
      <c r="F55" s="20" t="n">
        <v>2.10243723</v>
      </c>
      <c r="G55" s="18" t="n">
        <v>51.59604796</v>
      </c>
      <c r="H55" s="20" t="n">
        <v>2.59629789</v>
      </c>
      <c r="I55" s="18" t="s">
        <v>349</v>
      </c>
      <c r="J55" s="20" t="s">
        <v>349</v>
      </c>
      <c r="K55" s="18" t="n">
        <v>1.48836015</v>
      </c>
      <c r="L55" s="20" t="n">
        <v>0.48332979</v>
      </c>
      <c r="M55" s="18" t="n">
        <v>0</v>
      </c>
      <c r="N55" s="20" t="n">
        <v>0</v>
      </c>
      <c r="O55" s="18" t="n">
        <v>0.22515547</v>
      </c>
      <c r="P55" s="20" t="n">
        <v>0.22110509</v>
      </c>
      <c r="Q55" s="18" t="n">
        <v>28.47687668</v>
      </c>
      <c r="R55" s="20" t="n">
        <v>2.07639061</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(2769.0/B57*100)</f>
        <v/>
      </c>
      <c r="D57" s="19" t="n">
        <v>574</v>
      </c>
      <c r="E57" s="18" t="n">
        <v>51.04559477</v>
      </c>
      <c r="F57" s="20" t="n">
        <v>2.49078082</v>
      </c>
      <c r="G57" s="18" t="n">
        <v>23.91879567</v>
      </c>
      <c r="H57" s="20" t="n">
        <v>1.99045196</v>
      </c>
      <c r="I57" s="18" t="s">
        <v>349</v>
      </c>
      <c r="J57" s="20" t="s">
        <v>349</v>
      </c>
      <c r="K57" s="18" t="n">
        <v>2.8315538</v>
      </c>
      <c r="L57" s="20" t="n">
        <v>0.64352968</v>
      </c>
      <c r="M57" s="18" t="n">
        <v>0</v>
      </c>
      <c r="N57" s="20" t="n">
        <v>0</v>
      </c>
      <c r="O57" s="18" t="n">
        <v>0</v>
      </c>
      <c r="P57" s="20" t="n">
        <v>0</v>
      </c>
      <c r="Q57" s="18" t="n">
        <v>22.20405575</v>
      </c>
      <c r="R57" s="20" t="n">
        <v>2.11702916</v>
      </c>
    </row>
    <row r="58" spans="1:18">
      <c r="A58" s="15" t="s">
        <v>400</v>
      </c>
      <c r="B58" s="17" t="n">
        <v>3737</v>
      </c>
      <c r="C58" s="18">
        <f>(3104.0/B58*100)</f>
        <v/>
      </c>
      <c r="D58" s="19" t="n">
        <v>633</v>
      </c>
      <c r="E58" s="18" t="n">
        <v>59.90080312</v>
      </c>
      <c r="F58" s="20" t="n">
        <v>2.100193</v>
      </c>
      <c r="G58" s="18" t="n">
        <v>23.31454602</v>
      </c>
      <c r="H58" s="20" t="n">
        <v>1.73593583</v>
      </c>
      <c r="I58" s="18" t="s">
        <v>349</v>
      </c>
      <c r="J58" s="20" t="s">
        <v>349</v>
      </c>
      <c r="K58" s="18" t="n">
        <v>1.76547757</v>
      </c>
      <c r="L58" s="20" t="n">
        <v>0.54891396</v>
      </c>
      <c r="M58" s="18" t="n">
        <v>0</v>
      </c>
      <c r="N58" s="20" t="n">
        <v>0</v>
      </c>
      <c r="O58" s="18" t="n">
        <v>0</v>
      </c>
      <c r="P58" s="20" t="n">
        <v>0</v>
      </c>
      <c r="Q58" s="18" t="n">
        <v>15.01917329</v>
      </c>
      <c r="R58" s="20" t="n">
        <v>1.88444877</v>
      </c>
    </row>
    <row r="59" spans="1:18">
      <c r="A59" s="15" t="s">
        <v>401</v>
      </c>
      <c r="B59" s="17" t="n">
        <v>2278</v>
      </c>
      <c r="C59" s="18">
        <f>(1900.0/B59*100)</f>
        <v/>
      </c>
      <c r="D59" s="19" t="n">
        <v>378</v>
      </c>
      <c r="E59" s="18" t="n">
        <v>35.15533771</v>
      </c>
      <c r="F59" s="20" t="n">
        <v>2.93572561</v>
      </c>
      <c r="G59" s="18" t="n">
        <v>31.27792976</v>
      </c>
      <c r="H59" s="20" t="n">
        <v>2.97986628</v>
      </c>
      <c r="I59" s="18" t="s">
        <v>349</v>
      </c>
      <c r="J59" s="20" t="s">
        <v>349</v>
      </c>
      <c r="K59" s="18" t="n">
        <v>1.28950627</v>
      </c>
      <c r="L59" s="20" t="n">
        <v>0.60539352</v>
      </c>
      <c r="M59" s="18" t="n">
        <v>0</v>
      </c>
      <c r="N59" s="20" t="n">
        <v>0</v>
      </c>
      <c r="O59" s="18" t="n">
        <v>0</v>
      </c>
      <c r="P59" s="20" t="n">
        <v>0</v>
      </c>
      <c r="Q59" s="18" t="n">
        <v>32.27722626</v>
      </c>
      <c r="R59" s="20" t="n">
        <v>2.54859423</v>
      </c>
    </row>
    <row r="60" spans="1:18">
      <c r="A60" s="15" t="s">
        <v>402</v>
      </c>
      <c r="B60" s="17" t="n">
        <v>2451</v>
      </c>
      <c r="C60" s="18">
        <f>(2028.0/B60*100)</f>
        <v/>
      </c>
      <c r="D60" s="19" t="n">
        <v>423</v>
      </c>
      <c r="E60" s="18" t="n">
        <v>26.997258</v>
      </c>
      <c r="F60" s="20" t="n">
        <v>2.32744358</v>
      </c>
      <c r="G60" s="18" t="n">
        <v>22.40748929</v>
      </c>
      <c r="H60" s="20" t="n">
        <v>2.79697857</v>
      </c>
      <c r="I60" s="18" t="s">
        <v>349</v>
      </c>
      <c r="J60" s="20" t="s">
        <v>349</v>
      </c>
      <c r="K60" s="18" t="n">
        <v>4.24429903</v>
      </c>
      <c r="L60" s="20" t="n">
        <v>1.13194616</v>
      </c>
      <c r="M60" s="18" t="n">
        <v>0</v>
      </c>
      <c r="N60" s="20" t="n">
        <v>0</v>
      </c>
      <c r="O60" s="18" t="n">
        <v>1.25246757</v>
      </c>
      <c r="P60" s="20" t="n">
        <v>0.60607959</v>
      </c>
      <c r="Q60" s="18" t="n">
        <v>45.0984861</v>
      </c>
      <c r="R60" s="20" t="n">
        <v>3.31581417</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(2093.0/B63*100)</f>
        <v/>
      </c>
      <c r="D63" s="19" t="n">
        <v>418</v>
      </c>
      <c r="E63" s="18" t="n">
        <v>24.22513663</v>
      </c>
      <c r="F63" s="20" t="n">
        <v>2.1441166</v>
      </c>
      <c r="G63" s="18" t="n">
        <v>32.62974578</v>
      </c>
      <c r="H63" s="20" t="n">
        <v>2.31201316</v>
      </c>
      <c r="I63" s="18" t="s">
        <v>349</v>
      </c>
      <c r="J63" s="20" t="s">
        <v>349</v>
      </c>
      <c r="K63" s="18" t="n">
        <v>1.84229222</v>
      </c>
      <c r="L63" s="20" t="n">
        <v>0.65210376</v>
      </c>
      <c r="M63" s="18" t="n">
        <v>0</v>
      </c>
      <c r="N63" s="20" t="n">
        <v>0</v>
      </c>
      <c r="O63" s="18" t="n">
        <v>0</v>
      </c>
      <c r="P63" s="20" t="n">
        <v>0</v>
      </c>
      <c r="Q63" s="18" t="n">
        <v>41.30282536</v>
      </c>
      <c r="R63" s="20" t="n">
        <v>2.55309949</v>
      </c>
    </row>
    <row r="64" spans="1:18">
      <c r="A64" s="15" t="s">
        <v>406</v>
      </c>
      <c r="B64" s="17" t="n">
        <v>1790</v>
      </c>
      <c r="C64" s="18">
        <f>(1487.0/B64*100)</f>
        <v/>
      </c>
      <c r="D64" s="19" t="n">
        <v>303</v>
      </c>
      <c r="E64" s="18" t="n">
        <v>25.04553451</v>
      </c>
      <c r="F64" s="20" t="n">
        <v>3.01082039</v>
      </c>
      <c r="G64" s="18" t="n">
        <v>57.44561014</v>
      </c>
      <c r="H64" s="20" t="n">
        <v>3.12408086</v>
      </c>
      <c r="I64" s="18" t="s">
        <v>349</v>
      </c>
      <c r="J64" s="20" t="s">
        <v>349</v>
      </c>
      <c r="K64" s="18" t="n">
        <v>3.14891886</v>
      </c>
      <c r="L64" s="20" t="n">
        <v>1.14388264</v>
      </c>
      <c r="M64" s="18" t="n">
        <v>0</v>
      </c>
      <c r="N64" s="20" t="n">
        <v>0</v>
      </c>
      <c r="O64" s="18" t="n">
        <v>0.30499131</v>
      </c>
      <c r="P64" s="20" t="n">
        <v>0.31012818</v>
      </c>
      <c r="Q64" s="18" t="n">
        <v>14.05494518</v>
      </c>
      <c r="R64" s="20" t="n">
        <v>2.38689339</v>
      </c>
    </row>
    <row r="65" spans="1:18">
      <c r="A65" s="15" t="s">
        <v>407</v>
      </c>
      <c r="B65" s="17" t="n">
        <v>2634</v>
      </c>
      <c r="C65" s="18">
        <f>(2205.0/B65*100)</f>
        <v/>
      </c>
      <c r="D65" s="19" t="n">
        <v>429</v>
      </c>
      <c r="E65" s="18" t="n">
        <v>19.32688268</v>
      </c>
      <c r="F65" s="20" t="n">
        <v>1.83346267</v>
      </c>
      <c r="G65" s="18" t="n">
        <v>50.34683652</v>
      </c>
      <c r="H65" s="20" t="n">
        <v>2.62617075</v>
      </c>
      <c r="I65" s="18" t="s">
        <v>349</v>
      </c>
      <c r="J65" s="20" t="s">
        <v>349</v>
      </c>
      <c r="K65" s="18" t="n">
        <v>5.51532503</v>
      </c>
      <c r="L65" s="20" t="n">
        <v>1.49830732</v>
      </c>
      <c r="M65" s="18" t="n">
        <v>0</v>
      </c>
      <c r="N65" s="20" t="n">
        <v>0</v>
      </c>
      <c r="O65" s="18" t="n">
        <v>0</v>
      </c>
      <c r="P65" s="20" t="n">
        <v>0</v>
      </c>
      <c r="Q65" s="18" t="n">
        <v>24.81095577</v>
      </c>
      <c r="R65" s="20" t="n">
        <v>2.06874775</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(2059.0/B69*100)</f>
        <v/>
      </c>
      <c r="D69" s="19" t="n">
        <v>407</v>
      </c>
      <c r="E69" s="18" t="n">
        <v>54.14231318</v>
      </c>
      <c r="F69" s="20" t="n">
        <v>2.98296657</v>
      </c>
      <c r="G69" s="18" t="n">
        <v>45.85768682</v>
      </c>
      <c r="H69" s="20" t="n">
        <v>2.98296657</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(2041.0/B74*100)</f>
        <v/>
      </c>
      <c r="D74" s="19" t="n">
        <v>412</v>
      </c>
      <c r="E74" s="18" t="n">
        <v>40.39736261</v>
      </c>
      <c r="F74" s="20" t="n">
        <v>2.70597401</v>
      </c>
      <c r="G74" s="18" t="n">
        <v>35.33375665</v>
      </c>
      <c r="H74" s="20" t="n">
        <v>2.26040564</v>
      </c>
      <c r="I74" s="18" t="s">
        <v>349</v>
      </c>
      <c r="J74" s="20" t="s">
        <v>349</v>
      </c>
      <c r="K74" s="18" t="n">
        <v>3.09709814</v>
      </c>
      <c r="L74" s="20" t="n">
        <v>0.76867793</v>
      </c>
      <c r="M74" s="18" t="n">
        <v>0</v>
      </c>
      <c r="N74" s="20" t="n">
        <v>0</v>
      </c>
      <c r="O74" s="18" t="n">
        <v>0</v>
      </c>
      <c r="P74" s="20" t="n">
        <v>0</v>
      </c>
      <c r="Q74" s="18" t="n">
        <v>21.17178259</v>
      </c>
      <c r="R74" s="20" t="n">
        <v>2.18455255</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(2533.0/B78*100)</f>
        <v/>
      </c>
      <c r="D78" s="19" t="n">
        <v>507</v>
      </c>
      <c r="E78" s="18" t="n">
        <v>34.71959525</v>
      </c>
      <c r="F78" s="20" t="n">
        <v>2.84384182</v>
      </c>
      <c r="G78" s="18" t="n">
        <v>60.03261812</v>
      </c>
      <c r="H78" s="20" t="n">
        <v>2.96626741</v>
      </c>
      <c r="I78" s="18" t="s">
        <v>349</v>
      </c>
      <c r="J78" s="20" t="s">
        <v>349</v>
      </c>
      <c r="K78" s="18" t="n">
        <v>0</v>
      </c>
      <c r="L78" s="20" t="n">
        <v>0</v>
      </c>
      <c r="M78" s="18" t="n">
        <v>0</v>
      </c>
      <c r="N78" s="20" t="n">
        <v>0</v>
      </c>
      <c r="O78" s="18" t="n">
        <v>0</v>
      </c>
      <c r="P78" s="20" t="n">
        <v>0</v>
      </c>
      <c r="Q78" s="18" t="n">
        <v>5.24778663</v>
      </c>
      <c r="R78" s="20" t="n">
        <v>1.06486751</v>
      </c>
    </row>
    <row customHeight="1" ht="25" r="79" spans="1:18">
      <c r="A79" s="15" t="s">
        <v>421</v>
      </c>
      <c r="B79" s="17" t="n">
        <v>870</v>
      </c>
      <c r="C79" s="18">
        <f>(727.0/B79*100)</f>
        <v/>
      </c>
      <c r="D79" s="19" t="n">
        <v>143</v>
      </c>
      <c r="E79" s="18" t="n">
        <v>19.3777145</v>
      </c>
      <c r="F79" s="20" t="n">
        <v>3.60906352</v>
      </c>
      <c r="G79" s="18" t="n">
        <v>67.65052583000001</v>
      </c>
      <c r="H79" s="20" t="n">
        <v>4.72421093</v>
      </c>
      <c r="I79" s="18" t="s">
        <v>349</v>
      </c>
      <c r="J79" s="20" t="s">
        <v>349</v>
      </c>
      <c r="K79" s="18" t="n">
        <v>4.42355352</v>
      </c>
      <c r="L79" s="20" t="n">
        <v>1.76034974</v>
      </c>
      <c r="M79" s="18" t="n">
        <v>0</v>
      </c>
      <c r="N79" s="20" t="n">
        <v>0</v>
      </c>
      <c r="O79" s="18" t="n">
        <v>0</v>
      </c>
      <c r="P79" s="20" t="n">
        <v>0</v>
      </c>
      <c r="Q79" s="18" t="n">
        <v>8.54820614</v>
      </c>
      <c r="R79" s="20" t="n">
        <v>2.42522025</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(2257.0/B44*100)</f>
        <v/>
      </c>
      <c r="D44" s="19" t="n">
        <v>434</v>
      </c>
      <c r="E44" s="18" t="n">
        <v>32.79960483</v>
      </c>
      <c r="F44" s="20" t="n">
        <v>2.82094137</v>
      </c>
      <c r="G44" s="18" t="n">
        <v>62.06457708</v>
      </c>
      <c r="H44" s="20" t="n">
        <v>2.94235154</v>
      </c>
      <c r="I44" s="18" t="s">
        <v>349</v>
      </c>
      <c r="J44" s="20" t="s">
        <v>349</v>
      </c>
      <c r="K44" s="18" t="n">
        <v>2.15483274</v>
      </c>
      <c r="L44" s="20" t="n">
        <v>0.8065497700000001</v>
      </c>
      <c r="M44" s="18" t="n">
        <v>0</v>
      </c>
      <c r="N44" s="20" t="n">
        <v>0</v>
      </c>
      <c r="O44" s="18" t="n">
        <v>0.14922031</v>
      </c>
      <c r="P44" s="20" t="n">
        <v>0.14892195</v>
      </c>
      <c r="Q44" s="18" t="n">
        <v>2.83176503</v>
      </c>
      <c r="R44" s="20" t="n">
        <v>0.72325702</v>
      </c>
    </row>
    <row r="45" spans="1:18">
      <c r="A45" s="15" t="s">
        <v>387</v>
      </c>
      <c r="B45" s="17" t="n">
        <v>2670</v>
      </c>
      <c r="C45" s="18">
        <f>(2190.0/B45*100)</f>
        <v/>
      </c>
      <c r="D45" s="19" t="n">
        <v>480</v>
      </c>
      <c r="E45" s="18" t="n">
        <v>35.67887598</v>
      </c>
      <c r="F45" s="20" t="n">
        <v>1.99173857</v>
      </c>
      <c r="G45" s="18" t="n">
        <v>49.50819702</v>
      </c>
      <c r="H45" s="20" t="n">
        <v>2.15636826</v>
      </c>
      <c r="I45" s="18" t="s">
        <v>349</v>
      </c>
      <c r="J45" s="20" t="s">
        <v>349</v>
      </c>
      <c r="K45" s="18" t="n">
        <v>6.14728087</v>
      </c>
      <c r="L45" s="20" t="n">
        <v>1.21586172</v>
      </c>
      <c r="M45" s="18" t="n">
        <v>1.59946896</v>
      </c>
      <c r="N45" s="20" t="n">
        <v>0.81213145</v>
      </c>
      <c r="O45" s="18" t="n">
        <v>3.11977865</v>
      </c>
      <c r="P45" s="20" t="n">
        <v>0.66367867</v>
      </c>
      <c r="Q45" s="18" t="n">
        <v>3.94639852</v>
      </c>
      <c r="R45" s="20" t="n">
        <v>0.96427411</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(2768.0/B49*100)</f>
        <v/>
      </c>
      <c r="D49" s="19" t="n">
        <v>563</v>
      </c>
      <c r="E49" s="18" t="n">
        <v>29.35122984</v>
      </c>
      <c r="F49" s="20" t="n">
        <v>2.07465493</v>
      </c>
      <c r="G49" s="18" t="n">
        <v>68.62903579</v>
      </c>
      <c r="H49" s="20" t="n">
        <v>2.08970701</v>
      </c>
      <c r="I49" s="18" t="s">
        <v>349</v>
      </c>
      <c r="J49" s="20" t="s">
        <v>349</v>
      </c>
      <c r="K49" s="18" t="n">
        <v>1.40530075</v>
      </c>
      <c r="L49" s="20" t="n">
        <v>0.41336651</v>
      </c>
      <c r="M49" s="18" t="n">
        <v>0</v>
      </c>
      <c r="N49" s="20" t="n">
        <v>0</v>
      </c>
      <c r="O49" s="18" t="n">
        <v>0</v>
      </c>
      <c r="P49" s="20" t="n">
        <v>0</v>
      </c>
      <c r="Q49" s="18" t="n">
        <v>0.61443363</v>
      </c>
      <c r="R49" s="20" t="n">
        <v>0.33684143</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(2137.0/B55*100)</f>
        <v/>
      </c>
      <c r="D55" s="19" t="n">
        <v>420</v>
      </c>
      <c r="E55" s="18" t="n">
        <v>22.26711078</v>
      </c>
      <c r="F55" s="20" t="n">
        <v>1.97144992</v>
      </c>
      <c r="G55" s="18" t="n">
        <v>75.00304124</v>
      </c>
      <c r="H55" s="20" t="n">
        <v>1.9201876</v>
      </c>
      <c r="I55" s="18" t="s">
        <v>349</v>
      </c>
      <c r="J55" s="20" t="s">
        <v>349</v>
      </c>
      <c r="K55" s="18" t="n">
        <v>1.48836015</v>
      </c>
      <c r="L55" s="20" t="n">
        <v>0.48332979</v>
      </c>
      <c r="M55" s="18" t="n">
        <v>0</v>
      </c>
      <c r="N55" s="20" t="n">
        <v>0</v>
      </c>
      <c r="O55" s="18" t="n">
        <v>0</v>
      </c>
      <c r="P55" s="20" t="n">
        <v>0</v>
      </c>
      <c r="Q55" s="18" t="n">
        <v>1.24148783</v>
      </c>
      <c r="R55" s="20" t="n">
        <v>0.49004306</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(2769.0/B57*100)</f>
        <v/>
      </c>
      <c r="D57" s="19" t="n">
        <v>574</v>
      </c>
      <c r="E57" s="18" t="n">
        <v>40.85967097</v>
      </c>
      <c r="F57" s="20" t="n">
        <v>2.48984596</v>
      </c>
      <c r="G57" s="18" t="n">
        <v>55.65242205</v>
      </c>
      <c r="H57" s="20" t="n">
        <v>2.43862542</v>
      </c>
      <c r="I57" s="18" t="s">
        <v>349</v>
      </c>
      <c r="J57" s="20" t="s">
        <v>349</v>
      </c>
      <c r="K57" s="18" t="n">
        <v>2.8315538</v>
      </c>
      <c r="L57" s="20" t="n">
        <v>0.64352968</v>
      </c>
      <c r="M57" s="18" t="n">
        <v>0</v>
      </c>
      <c r="N57" s="20" t="n">
        <v>0</v>
      </c>
      <c r="O57" s="18" t="n">
        <v>0</v>
      </c>
      <c r="P57" s="20" t="n">
        <v>0</v>
      </c>
      <c r="Q57" s="18" t="n">
        <v>0.65635318</v>
      </c>
      <c r="R57" s="20" t="n">
        <v>0.29137136</v>
      </c>
    </row>
    <row r="58" spans="1:18">
      <c r="A58" s="15" t="s">
        <v>400</v>
      </c>
      <c r="B58" s="17" t="n">
        <v>3737</v>
      </c>
      <c r="C58" s="18">
        <f>(3104.0/B58*100)</f>
        <v/>
      </c>
      <c r="D58" s="19" t="n">
        <v>633</v>
      </c>
      <c r="E58" s="18" t="n">
        <v>31.84927239</v>
      </c>
      <c r="F58" s="20" t="n">
        <v>2.3708177</v>
      </c>
      <c r="G58" s="18" t="n">
        <v>63.55542706</v>
      </c>
      <c r="H58" s="20" t="n">
        <v>2.47907759</v>
      </c>
      <c r="I58" s="18" t="s">
        <v>349</v>
      </c>
      <c r="J58" s="20" t="s">
        <v>349</v>
      </c>
      <c r="K58" s="18" t="n">
        <v>1.76547757</v>
      </c>
      <c r="L58" s="20" t="n">
        <v>0.54891396</v>
      </c>
      <c r="M58" s="18" t="n">
        <v>0</v>
      </c>
      <c r="N58" s="20" t="n">
        <v>0</v>
      </c>
      <c r="O58" s="18" t="n">
        <v>1.44844383</v>
      </c>
      <c r="P58" s="20" t="n">
        <v>0.64077678</v>
      </c>
      <c r="Q58" s="18" t="n">
        <v>1.38137915</v>
      </c>
      <c r="R58" s="20" t="n">
        <v>0.49926813</v>
      </c>
    </row>
    <row r="59" spans="1:18">
      <c r="A59" s="15" t="s">
        <v>401</v>
      </c>
      <c r="B59" s="17" t="n">
        <v>2278</v>
      </c>
      <c r="C59" s="18">
        <f>(1900.0/B59*100)</f>
        <v/>
      </c>
      <c r="D59" s="19" t="n">
        <v>378</v>
      </c>
      <c r="E59" s="18" t="n">
        <v>37.19911249</v>
      </c>
      <c r="F59" s="20" t="n">
        <v>3.22861288</v>
      </c>
      <c r="G59" s="18" t="n">
        <v>59.60187546</v>
      </c>
      <c r="H59" s="20" t="n">
        <v>3.3179214</v>
      </c>
      <c r="I59" s="18" t="s">
        <v>349</v>
      </c>
      <c r="J59" s="20" t="s">
        <v>349</v>
      </c>
      <c r="K59" s="18" t="n">
        <v>1.85897086</v>
      </c>
      <c r="L59" s="20" t="n">
        <v>0.72830682</v>
      </c>
      <c r="M59" s="18" t="n">
        <v>0</v>
      </c>
      <c r="N59" s="20" t="n">
        <v>0</v>
      </c>
      <c r="O59" s="18" t="n">
        <v>0.80237781</v>
      </c>
      <c r="P59" s="20" t="n">
        <v>0.59353874</v>
      </c>
      <c r="Q59" s="18" t="n">
        <v>0.53766339</v>
      </c>
      <c r="R59" s="20" t="n">
        <v>0.35853355</v>
      </c>
    </row>
    <row r="60" spans="1:18">
      <c r="A60" s="15" t="s">
        <v>402</v>
      </c>
      <c r="B60" s="17" t="n">
        <v>2451</v>
      </c>
      <c r="C60" s="18">
        <f>(2028.0/B60*100)</f>
        <v/>
      </c>
      <c r="D60" s="19" t="n">
        <v>423</v>
      </c>
      <c r="E60" s="18" t="n">
        <v>57.49222348</v>
      </c>
      <c r="F60" s="20" t="n">
        <v>3.37211224</v>
      </c>
      <c r="G60" s="18" t="n">
        <v>26.33966673</v>
      </c>
      <c r="H60" s="20" t="n">
        <v>2.6559358</v>
      </c>
      <c r="I60" s="18" t="s">
        <v>349</v>
      </c>
      <c r="J60" s="20" t="s">
        <v>349</v>
      </c>
      <c r="K60" s="18" t="n">
        <v>4.98247635</v>
      </c>
      <c r="L60" s="20" t="n">
        <v>1.22973033</v>
      </c>
      <c r="M60" s="18" t="n">
        <v>0</v>
      </c>
      <c r="N60" s="20" t="n">
        <v>0</v>
      </c>
      <c r="O60" s="18" t="n">
        <v>4.58209662</v>
      </c>
      <c r="P60" s="20" t="n">
        <v>1.39959631</v>
      </c>
      <c r="Q60" s="18" t="n">
        <v>6.60353681</v>
      </c>
      <c r="R60" s="20" t="n">
        <v>1.19827485</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(2093.0/B63*100)</f>
        <v/>
      </c>
      <c r="D63" s="19" t="n">
        <v>418</v>
      </c>
      <c r="E63" s="18" t="n">
        <v>35.04443271</v>
      </c>
      <c r="F63" s="20" t="n">
        <v>2.69727287</v>
      </c>
      <c r="G63" s="18" t="n">
        <v>56.67669683</v>
      </c>
      <c r="H63" s="20" t="n">
        <v>2.85458931</v>
      </c>
      <c r="I63" s="18" t="s">
        <v>349</v>
      </c>
      <c r="J63" s="20" t="s">
        <v>349</v>
      </c>
      <c r="K63" s="18" t="n">
        <v>1.84229222</v>
      </c>
      <c r="L63" s="20" t="n">
        <v>0.65210376</v>
      </c>
      <c r="M63" s="18" t="n">
        <v>0</v>
      </c>
      <c r="N63" s="20" t="n">
        <v>0</v>
      </c>
      <c r="O63" s="18" t="n">
        <v>0</v>
      </c>
      <c r="P63" s="20" t="n">
        <v>0</v>
      </c>
      <c r="Q63" s="18" t="n">
        <v>6.43657824</v>
      </c>
      <c r="R63" s="20" t="n">
        <v>1.02539638</v>
      </c>
    </row>
    <row r="64" spans="1:18">
      <c r="A64" s="15" t="s">
        <v>406</v>
      </c>
      <c r="B64" s="17" t="n">
        <v>1790</v>
      </c>
      <c r="C64" s="18">
        <f>(1487.0/B64*100)</f>
        <v/>
      </c>
      <c r="D64" s="19" t="n">
        <v>303</v>
      </c>
      <c r="E64" s="18" t="n">
        <v>25.28272903</v>
      </c>
      <c r="F64" s="20" t="n">
        <v>2.18563874</v>
      </c>
      <c r="G64" s="18" t="n">
        <v>70.07752408</v>
      </c>
      <c r="H64" s="20" t="n">
        <v>2.45505231</v>
      </c>
      <c r="I64" s="18" t="s">
        <v>349</v>
      </c>
      <c r="J64" s="20" t="s">
        <v>349</v>
      </c>
      <c r="K64" s="18" t="n">
        <v>3.42618369</v>
      </c>
      <c r="L64" s="20" t="n">
        <v>1.17540199</v>
      </c>
      <c r="M64" s="18" t="n">
        <v>0</v>
      </c>
      <c r="N64" s="20" t="n">
        <v>0</v>
      </c>
      <c r="O64" s="18" t="n">
        <v>0</v>
      </c>
      <c r="P64" s="20" t="n">
        <v>0</v>
      </c>
      <c r="Q64" s="18" t="n">
        <v>1.21356321</v>
      </c>
      <c r="R64" s="20" t="n">
        <v>0.68780444</v>
      </c>
    </row>
    <row r="65" spans="1:18">
      <c r="A65" s="15" t="s">
        <v>407</v>
      </c>
      <c r="B65" s="17" t="n">
        <v>2634</v>
      </c>
      <c r="C65" s="18">
        <f>(2205.0/B65*100)</f>
        <v/>
      </c>
      <c r="D65" s="19" t="n">
        <v>429</v>
      </c>
      <c r="E65" s="18" t="n">
        <v>34.09061477</v>
      </c>
      <c r="F65" s="20" t="n">
        <v>2.86932043</v>
      </c>
      <c r="G65" s="18" t="n">
        <v>58.89042058</v>
      </c>
      <c r="H65" s="20" t="n">
        <v>2.93550149</v>
      </c>
      <c r="I65" s="18" t="s">
        <v>349</v>
      </c>
      <c r="J65" s="20" t="s">
        <v>349</v>
      </c>
      <c r="K65" s="18" t="n">
        <v>5.6968258</v>
      </c>
      <c r="L65" s="20" t="n">
        <v>1.36881213</v>
      </c>
      <c r="M65" s="18" t="n">
        <v>0.66627751</v>
      </c>
      <c r="N65" s="20" t="n">
        <v>0.39305228</v>
      </c>
      <c r="O65" s="18" t="n">
        <v>0</v>
      </c>
      <c r="P65" s="20" t="n">
        <v>0</v>
      </c>
      <c r="Q65" s="18" t="n">
        <v>0.65586133</v>
      </c>
      <c r="R65" s="20" t="n">
        <v>0.37629144</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(2059.0/B69*100)</f>
        <v/>
      </c>
      <c r="D69" s="19" t="n">
        <v>407</v>
      </c>
      <c r="E69" s="18" t="n">
        <v>27.05828023</v>
      </c>
      <c r="F69" s="20" t="n">
        <v>2.2449743</v>
      </c>
      <c r="G69" s="18" t="n">
        <v>72.71226514999999</v>
      </c>
      <c r="H69" s="20" t="n">
        <v>2.27603226</v>
      </c>
      <c r="I69" s="18" t="s">
        <v>349</v>
      </c>
      <c r="J69" s="20" t="s">
        <v>349</v>
      </c>
      <c r="K69" s="18" t="n">
        <v>0</v>
      </c>
      <c r="L69" s="20" t="n">
        <v>0</v>
      </c>
      <c r="M69" s="18" t="n">
        <v>0</v>
      </c>
      <c r="N69" s="20" t="n">
        <v>0</v>
      </c>
      <c r="O69" s="18" t="n">
        <v>0</v>
      </c>
      <c r="P69" s="20" t="n">
        <v>0</v>
      </c>
      <c r="Q69" s="18" t="n">
        <v>0.22945462</v>
      </c>
      <c r="R69" s="20" t="n">
        <v>0.23182136</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(2041.0/B74*100)</f>
        <v/>
      </c>
      <c r="D74" s="19" t="n">
        <v>412</v>
      </c>
      <c r="E74" s="18" t="n">
        <v>46.49465139</v>
      </c>
      <c r="F74" s="20" t="n">
        <v>2.57848277</v>
      </c>
      <c r="G74" s="18" t="n">
        <v>48.60151663</v>
      </c>
      <c r="H74" s="20" t="n">
        <v>2.65385026</v>
      </c>
      <c r="I74" s="18" t="s">
        <v>349</v>
      </c>
      <c r="J74" s="20" t="s">
        <v>349</v>
      </c>
      <c r="K74" s="18" t="n">
        <v>3.3910819</v>
      </c>
      <c r="L74" s="20" t="n">
        <v>0.8275578</v>
      </c>
      <c r="M74" s="18" t="n">
        <v>0</v>
      </c>
      <c r="N74" s="20" t="n">
        <v>0</v>
      </c>
      <c r="O74" s="18" t="n">
        <v>0</v>
      </c>
      <c r="P74" s="20" t="n">
        <v>0</v>
      </c>
      <c r="Q74" s="18" t="n">
        <v>1.51275007</v>
      </c>
      <c r="R74" s="20" t="n">
        <v>0.6150265499999999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(2533.0/B78*100)</f>
        <v/>
      </c>
      <c r="D78" s="19" t="n">
        <v>507</v>
      </c>
      <c r="E78" s="18" t="n">
        <v>5.74919368</v>
      </c>
      <c r="F78" s="20" t="n">
        <v>1.46351163</v>
      </c>
      <c r="G78" s="18" t="n">
        <v>94.25080632</v>
      </c>
      <c r="H78" s="20" t="n">
        <v>1.46351163</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(727.0/B79*100)</f>
        <v/>
      </c>
      <c r="D79" s="19" t="n">
        <v>143</v>
      </c>
      <c r="E79" s="18" t="n">
        <v>25.7956413</v>
      </c>
      <c r="F79" s="20" t="n">
        <v>3.55362947</v>
      </c>
      <c r="G79" s="18" t="n">
        <v>68.18244584999999</v>
      </c>
      <c r="H79" s="20" t="n">
        <v>3.56130744</v>
      </c>
      <c r="I79" s="18" t="s">
        <v>349</v>
      </c>
      <c r="J79" s="20" t="s">
        <v>349</v>
      </c>
      <c r="K79" s="18" t="n">
        <v>4.42355352</v>
      </c>
      <c r="L79" s="20" t="n">
        <v>1.76034974</v>
      </c>
      <c r="M79" s="18" t="n">
        <v>0</v>
      </c>
      <c r="N79" s="20" t="n">
        <v>0</v>
      </c>
      <c r="O79" s="18" t="n">
        <v>0</v>
      </c>
      <c r="P79" s="20" t="n">
        <v>0</v>
      </c>
      <c r="Q79" s="18" t="n">
        <v>1.59835933</v>
      </c>
      <c r="R79" s="20" t="n">
        <v>1.19770893</v>
      </c>
    </row>
    <row r="80" spans="1:18">
      <c r="A80" s="15" t="s">
        <v>422</v>
      </c>
      <c r="B80" s="17" t="n">
        <v>4043</v>
      </c>
      <c r="C80" s="18">
        <f>(3371.0/B80*100)</f>
        <v/>
      </c>
      <c r="D80" s="19" t="n">
        <v>672</v>
      </c>
      <c r="E80" s="18" t="n">
        <v>27.45291178</v>
      </c>
      <c r="F80" s="20" t="n">
        <v>2.50059275</v>
      </c>
      <c r="G80" s="18" t="n">
        <v>72.44911496</v>
      </c>
      <c r="H80" s="20" t="n">
        <v>2.51195462</v>
      </c>
      <c r="I80" s="18" t="s">
        <v>349</v>
      </c>
      <c r="J80" s="20" t="s">
        <v>349</v>
      </c>
      <c r="K80" s="18" t="n">
        <v>0</v>
      </c>
      <c r="L80" s="20" t="n">
        <v>0</v>
      </c>
      <c r="M80" s="18" t="n">
        <v>0</v>
      </c>
      <c r="N80" s="20" t="n">
        <v>0</v>
      </c>
      <c r="O80" s="18" t="n">
        <v>0</v>
      </c>
      <c r="P80" s="20" t="n">
        <v>0</v>
      </c>
      <c r="Q80" s="18" t="n">
        <v>0.09797326000000001</v>
      </c>
      <c r="R80" s="20" t="n">
        <v>0.07047148</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(2257.0/B44*100)</f>
        <v/>
      </c>
      <c r="D44" s="19" t="n">
        <v>434</v>
      </c>
      <c r="E44" s="18" t="n">
        <v>73.82195491</v>
      </c>
      <c r="F44" s="20" t="n">
        <v>2.502331</v>
      </c>
      <c r="G44" s="18" t="n">
        <v>12.90959108</v>
      </c>
      <c r="H44" s="20" t="n">
        <v>2.30067563</v>
      </c>
      <c r="I44" s="18" t="s">
        <v>349</v>
      </c>
      <c r="J44" s="20" t="s">
        <v>349</v>
      </c>
      <c r="K44" s="18" t="n">
        <v>3.08004954</v>
      </c>
      <c r="L44" s="20" t="n">
        <v>0.9803668</v>
      </c>
      <c r="M44" s="18" t="n">
        <v>0</v>
      </c>
      <c r="N44" s="20" t="n">
        <v>0</v>
      </c>
      <c r="O44" s="18" t="n">
        <v>0.88992505</v>
      </c>
      <c r="P44" s="20" t="n">
        <v>0.51650063</v>
      </c>
      <c r="Q44" s="18" t="n">
        <v>9.29847943</v>
      </c>
      <c r="R44" s="20" t="n">
        <v>1.53680456</v>
      </c>
    </row>
    <row r="45" spans="1:18">
      <c r="A45" s="15" t="s">
        <v>387</v>
      </c>
      <c r="B45" s="17" t="n">
        <v>2670</v>
      </c>
      <c r="C45" s="18">
        <f>(2190.0/B45*100)</f>
        <v/>
      </c>
      <c r="D45" s="19" t="n">
        <v>480</v>
      </c>
      <c r="E45" s="18" t="n">
        <v>65.86399827</v>
      </c>
      <c r="F45" s="20" t="n">
        <v>2.68480814</v>
      </c>
      <c r="G45" s="18" t="n">
        <v>7.76166993</v>
      </c>
      <c r="H45" s="20" t="n">
        <v>1.58479867</v>
      </c>
      <c r="I45" s="18" t="s">
        <v>349</v>
      </c>
      <c r="J45" s="20" t="s">
        <v>349</v>
      </c>
      <c r="K45" s="18" t="n">
        <v>7.95630994</v>
      </c>
      <c r="L45" s="20" t="n">
        <v>1.27117807</v>
      </c>
      <c r="M45" s="18" t="n">
        <v>1.55530517</v>
      </c>
      <c r="N45" s="20" t="n">
        <v>0.6457531399999999</v>
      </c>
      <c r="O45" s="18" t="n">
        <v>5.66313143</v>
      </c>
      <c r="P45" s="20" t="n">
        <v>1.08125828</v>
      </c>
      <c r="Q45" s="18" t="n">
        <v>11.19958526</v>
      </c>
      <c r="R45" s="20" t="n">
        <v>1.54869666</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(2768.0/B49*100)</f>
        <v/>
      </c>
      <c r="D49" s="19" t="n">
        <v>563</v>
      </c>
      <c r="E49" s="18" t="n">
        <v>77.19422279</v>
      </c>
      <c r="F49" s="20" t="n">
        <v>2.43476467</v>
      </c>
      <c r="G49" s="18" t="n">
        <v>12.13960278</v>
      </c>
      <c r="H49" s="20" t="n">
        <v>1.82011746</v>
      </c>
      <c r="I49" s="18" t="s">
        <v>349</v>
      </c>
      <c r="J49" s="20" t="s">
        <v>349</v>
      </c>
      <c r="K49" s="18" t="n">
        <v>1.94593013</v>
      </c>
      <c r="L49" s="20" t="n">
        <v>0.50951656</v>
      </c>
      <c r="M49" s="18" t="n">
        <v>0</v>
      </c>
      <c r="N49" s="20" t="n">
        <v>0</v>
      </c>
      <c r="O49" s="18" t="n">
        <v>2.12059532</v>
      </c>
      <c r="P49" s="20" t="n">
        <v>0.87403021</v>
      </c>
      <c r="Q49" s="18" t="n">
        <v>6.59964898</v>
      </c>
      <c r="R49" s="20" t="n">
        <v>1.15888698</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(2137.0/B55*100)</f>
        <v/>
      </c>
      <c r="D55" s="19" t="n">
        <v>420</v>
      </c>
      <c r="E55" s="18" t="n">
        <v>70.68856217</v>
      </c>
      <c r="F55" s="20" t="n">
        <v>2.36078397</v>
      </c>
      <c r="G55" s="18" t="n">
        <v>14.52695766</v>
      </c>
      <c r="H55" s="20" t="n">
        <v>1.75992128</v>
      </c>
      <c r="I55" s="18" t="s">
        <v>349</v>
      </c>
      <c r="J55" s="20" t="s">
        <v>349</v>
      </c>
      <c r="K55" s="18" t="n">
        <v>1.48836015</v>
      </c>
      <c r="L55" s="20" t="n">
        <v>0.48332979</v>
      </c>
      <c r="M55" s="18" t="n">
        <v>0</v>
      </c>
      <c r="N55" s="20" t="n">
        <v>0</v>
      </c>
      <c r="O55" s="18" t="n">
        <v>3.70408632</v>
      </c>
      <c r="P55" s="20" t="n">
        <v>0.92019836</v>
      </c>
      <c r="Q55" s="18" t="n">
        <v>9.592033710000001</v>
      </c>
      <c r="R55" s="20" t="n">
        <v>1.51532564</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(2769.0/B57*100)</f>
        <v/>
      </c>
      <c r="D57" s="19" t="n">
        <v>574</v>
      </c>
      <c r="E57" s="18" t="n">
        <v>72.65025341</v>
      </c>
      <c r="F57" s="20" t="n">
        <v>2.17451753</v>
      </c>
      <c r="G57" s="18" t="n">
        <v>15.70668907</v>
      </c>
      <c r="H57" s="20" t="n">
        <v>1.77596785</v>
      </c>
      <c r="I57" s="18" t="s">
        <v>349</v>
      </c>
      <c r="J57" s="20" t="s">
        <v>349</v>
      </c>
      <c r="K57" s="18" t="n">
        <v>3.07551176</v>
      </c>
      <c r="L57" s="20" t="n">
        <v>0.68148846</v>
      </c>
      <c r="M57" s="18" t="n">
        <v>0.16408837</v>
      </c>
      <c r="N57" s="20" t="n">
        <v>0.16468322</v>
      </c>
      <c r="O57" s="18" t="n">
        <v>3.13150043</v>
      </c>
      <c r="P57" s="20" t="n">
        <v>0.82946394</v>
      </c>
      <c r="Q57" s="18" t="n">
        <v>5.27195697</v>
      </c>
      <c r="R57" s="20" t="n">
        <v>1.13194525</v>
      </c>
    </row>
    <row r="58" spans="1:18">
      <c r="A58" s="15" t="s">
        <v>400</v>
      </c>
      <c r="B58" s="17" t="n">
        <v>3737</v>
      </c>
      <c r="C58" s="18">
        <f>(3104.0/B58*100)</f>
        <v/>
      </c>
      <c r="D58" s="19" t="n">
        <v>633</v>
      </c>
      <c r="E58" s="18" t="n">
        <v>65.51669206</v>
      </c>
      <c r="F58" s="20" t="n">
        <v>2.59104851</v>
      </c>
      <c r="G58" s="18" t="n">
        <v>23.36047503</v>
      </c>
      <c r="H58" s="20" t="n">
        <v>2.38897393</v>
      </c>
      <c r="I58" s="18" t="s">
        <v>349</v>
      </c>
      <c r="J58" s="20" t="s">
        <v>349</v>
      </c>
      <c r="K58" s="18" t="n">
        <v>2.39842171</v>
      </c>
      <c r="L58" s="20" t="n">
        <v>0.70832001</v>
      </c>
      <c r="M58" s="18" t="n">
        <v>0</v>
      </c>
      <c r="N58" s="20" t="n">
        <v>0</v>
      </c>
      <c r="O58" s="18" t="n">
        <v>4.3917582</v>
      </c>
      <c r="P58" s="20" t="n">
        <v>0.71343999</v>
      </c>
      <c r="Q58" s="18" t="n">
        <v>4.332653</v>
      </c>
      <c r="R58" s="20" t="n">
        <v>0.98904417</v>
      </c>
    </row>
    <row r="59" spans="1:18">
      <c r="A59" s="15" t="s">
        <v>401</v>
      </c>
      <c r="B59" s="17" t="n">
        <v>2278</v>
      </c>
      <c r="C59" s="18">
        <f>(1900.0/B59*100)</f>
        <v/>
      </c>
      <c r="D59" s="19" t="n">
        <v>378</v>
      </c>
      <c r="E59" s="18" t="n">
        <v>72.47653059</v>
      </c>
      <c r="F59" s="20" t="n">
        <v>3.01405485</v>
      </c>
      <c r="G59" s="18" t="n">
        <v>9.58686178</v>
      </c>
      <c r="H59" s="20" t="n">
        <v>1.89849025</v>
      </c>
      <c r="I59" s="18" t="s">
        <v>349</v>
      </c>
      <c r="J59" s="20" t="s">
        <v>349</v>
      </c>
      <c r="K59" s="18" t="n">
        <v>1.85897086</v>
      </c>
      <c r="L59" s="20" t="n">
        <v>0.72830682</v>
      </c>
      <c r="M59" s="18" t="n">
        <v>0</v>
      </c>
      <c r="N59" s="20" t="n">
        <v>0</v>
      </c>
      <c r="O59" s="18" t="n">
        <v>4.92776679</v>
      </c>
      <c r="P59" s="20" t="n">
        <v>1.39760215</v>
      </c>
      <c r="Q59" s="18" t="n">
        <v>11.14986999</v>
      </c>
      <c r="R59" s="20" t="n">
        <v>1.66519542</v>
      </c>
    </row>
    <row r="60" spans="1:18">
      <c r="A60" s="15" t="s">
        <v>402</v>
      </c>
      <c r="B60" s="17" t="n">
        <v>2451</v>
      </c>
      <c r="C60" s="18">
        <f>(2028.0/B60*100)</f>
        <v/>
      </c>
      <c r="D60" s="19" t="n">
        <v>423</v>
      </c>
      <c r="E60" s="18" t="n">
        <v>63.00183456</v>
      </c>
      <c r="F60" s="20" t="n">
        <v>2.52224234</v>
      </c>
      <c r="G60" s="18" t="n">
        <v>14.22614142</v>
      </c>
      <c r="H60" s="20" t="n">
        <v>1.76978114</v>
      </c>
      <c r="I60" s="18" t="s">
        <v>349</v>
      </c>
      <c r="J60" s="20" t="s">
        <v>349</v>
      </c>
      <c r="K60" s="18" t="n">
        <v>5.40433221</v>
      </c>
      <c r="L60" s="20" t="n">
        <v>1.32436262</v>
      </c>
      <c r="M60" s="18" t="n">
        <v>0</v>
      </c>
      <c r="N60" s="20" t="n">
        <v>0</v>
      </c>
      <c r="O60" s="18" t="n">
        <v>5.36843691</v>
      </c>
      <c r="P60" s="20" t="n">
        <v>1.0348842</v>
      </c>
      <c r="Q60" s="18" t="n">
        <v>11.9992549</v>
      </c>
      <c r="R60" s="20" t="n">
        <v>2.13309199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(2093.0/B63*100)</f>
        <v/>
      </c>
      <c r="D63" s="19" t="n">
        <v>418</v>
      </c>
      <c r="E63" s="18" t="n">
        <v>64.31176381</v>
      </c>
      <c r="F63" s="20" t="n">
        <v>2.59559061</v>
      </c>
      <c r="G63" s="18" t="n">
        <v>12.21505616</v>
      </c>
      <c r="H63" s="20" t="n">
        <v>1.82648469</v>
      </c>
      <c r="I63" s="18" t="s">
        <v>349</v>
      </c>
      <c r="J63" s="20" t="s">
        <v>349</v>
      </c>
      <c r="K63" s="18" t="n">
        <v>2.09583207</v>
      </c>
      <c r="L63" s="20" t="n">
        <v>0.70099872</v>
      </c>
      <c r="M63" s="18" t="n">
        <v>0</v>
      </c>
      <c r="N63" s="20" t="n">
        <v>0</v>
      </c>
      <c r="O63" s="18" t="n">
        <v>1.3660204</v>
      </c>
      <c r="P63" s="20" t="n">
        <v>0.6401261</v>
      </c>
      <c r="Q63" s="18" t="n">
        <v>20.01132756</v>
      </c>
      <c r="R63" s="20" t="n">
        <v>2.06477894</v>
      </c>
    </row>
    <row r="64" spans="1:18">
      <c r="A64" s="15" t="s">
        <v>406</v>
      </c>
      <c r="B64" s="17" t="n">
        <v>1790</v>
      </c>
      <c r="C64" s="18">
        <f>(1487.0/B64*100)</f>
        <v/>
      </c>
      <c r="D64" s="19" t="n">
        <v>303</v>
      </c>
      <c r="E64" s="18" t="n">
        <v>54.18024837</v>
      </c>
      <c r="F64" s="20" t="n">
        <v>2.80300804</v>
      </c>
      <c r="G64" s="18" t="n">
        <v>38.66165819</v>
      </c>
      <c r="H64" s="20" t="n">
        <v>2.81800683</v>
      </c>
      <c r="I64" s="18" t="s">
        <v>349</v>
      </c>
      <c r="J64" s="20" t="s">
        <v>349</v>
      </c>
      <c r="K64" s="18" t="n">
        <v>3.42618369</v>
      </c>
      <c r="L64" s="20" t="n">
        <v>1.17540199</v>
      </c>
      <c r="M64" s="18" t="n">
        <v>0</v>
      </c>
      <c r="N64" s="20" t="n">
        <v>0</v>
      </c>
      <c r="O64" s="18" t="n">
        <v>2.10709071</v>
      </c>
      <c r="P64" s="20" t="n">
        <v>0.92508079</v>
      </c>
      <c r="Q64" s="18" t="n">
        <v>1.62481904</v>
      </c>
      <c r="R64" s="20" t="n">
        <v>0.82475188</v>
      </c>
    </row>
    <row r="65" spans="1:18">
      <c r="A65" s="15" t="s">
        <v>407</v>
      </c>
      <c r="B65" s="17" t="n">
        <v>2634</v>
      </c>
      <c r="C65" s="18">
        <f>(2205.0/B65*100)</f>
        <v/>
      </c>
      <c r="D65" s="19" t="n">
        <v>429</v>
      </c>
      <c r="E65" s="18" t="n">
        <v>69.1804302</v>
      </c>
      <c r="F65" s="20" t="n">
        <v>2.42783266</v>
      </c>
      <c r="G65" s="18" t="n">
        <v>12.3787045</v>
      </c>
      <c r="H65" s="20" t="n">
        <v>1.61280341</v>
      </c>
      <c r="I65" s="18" t="s">
        <v>349</v>
      </c>
      <c r="J65" s="20" t="s">
        <v>349</v>
      </c>
      <c r="K65" s="18" t="n">
        <v>7.46588069</v>
      </c>
      <c r="L65" s="20" t="n">
        <v>1.62316728</v>
      </c>
      <c r="M65" s="18" t="n">
        <v>2.58760616</v>
      </c>
      <c r="N65" s="20" t="n">
        <v>0.8608350299999999</v>
      </c>
      <c r="O65" s="18" t="n">
        <v>1.41458009</v>
      </c>
      <c r="P65" s="20" t="n">
        <v>1.0721566</v>
      </c>
      <c r="Q65" s="18" t="n">
        <v>6.97279836</v>
      </c>
      <c r="R65" s="20" t="n">
        <v>1.31399391</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(2059.0/B69*100)</f>
        <v/>
      </c>
      <c r="D69" s="19" t="n">
        <v>407</v>
      </c>
      <c r="E69" s="18" t="n">
        <v>82.02226628</v>
      </c>
      <c r="F69" s="20" t="n">
        <v>2.13358146</v>
      </c>
      <c r="G69" s="18" t="n">
        <v>16.48481878</v>
      </c>
      <c r="H69" s="20" t="n">
        <v>2.03889965</v>
      </c>
      <c r="I69" s="18" t="s">
        <v>349</v>
      </c>
      <c r="J69" s="20" t="s">
        <v>349</v>
      </c>
      <c r="K69" s="18" t="n">
        <v>0</v>
      </c>
      <c r="L69" s="20" t="n">
        <v>0</v>
      </c>
      <c r="M69" s="18" t="n">
        <v>0</v>
      </c>
      <c r="N69" s="20" t="n">
        <v>0</v>
      </c>
      <c r="O69" s="18" t="n">
        <v>0</v>
      </c>
      <c r="P69" s="20" t="n">
        <v>0</v>
      </c>
      <c r="Q69" s="18" t="n">
        <v>1.49291493</v>
      </c>
      <c r="R69" s="20" t="n">
        <v>0.7162207</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(2041.0/B74*100)</f>
        <v/>
      </c>
      <c r="D74" s="19" t="n">
        <v>412</v>
      </c>
      <c r="E74" s="18" t="n">
        <v>71.1688474</v>
      </c>
      <c r="F74" s="20" t="n">
        <v>2.39921613</v>
      </c>
      <c r="G74" s="18" t="n">
        <v>17.58477955</v>
      </c>
      <c r="H74" s="20" t="n">
        <v>2.09399156</v>
      </c>
      <c r="I74" s="18" t="s">
        <v>349</v>
      </c>
      <c r="J74" s="20" t="s">
        <v>349</v>
      </c>
      <c r="K74" s="18" t="n">
        <v>3.5309399</v>
      </c>
      <c r="L74" s="20" t="n">
        <v>0.84049521</v>
      </c>
      <c r="M74" s="18" t="n">
        <v>0</v>
      </c>
      <c r="N74" s="20" t="n">
        <v>0</v>
      </c>
      <c r="O74" s="18" t="n">
        <v>0.33861047</v>
      </c>
      <c r="P74" s="20" t="n">
        <v>0.24666652</v>
      </c>
      <c r="Q74" s="18" t="n">
        <v>7.37682267</v>
      </c>
      <c r="R74" s="20" t="n">
        <v>1.35389003</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(2533.0/B78*100)</f>
        <v/>
      </c>
      <c r="D78" s="19" t="n">
        <v>507</v>
      </c>
      <c r="E78" s="18" t="n">
        <v>72.58950923</v>
      </c>
      <c r="F78" s="20" t="n">
        <v>2.05766966</v>
      </c>
      <c r="G78" s="18" t="n">
        <v>23.3518723</v>
      </c>
      <c r="H78" s="20" t="n">
        <v>2.10092033</v>
      </c>
      <c r="I78" s="18" t="s">
        <v>349</v>
      </c>
      <c r="J78" s="20" t="s">
        <v>349</v>
      </c>
      <c r="K78" s="18" t="n">
        <v>0</v>
      </c>
      <c r="L78" s="20" t="n">
        <v>0</v>
      </c>
      <c r="M78" s="18" t="n">
        <v>0.41249276</v>
      </c>
      <c r="N78" s="20" t="n">
        <v>0.26688104</v>
      </c>
      <c r="O78" s="18" t="n">
        <v>2.66117504</v>
      </c>
      <c r="P78" s="20" t="n">
        <v>0.94134834</v>
      </c>
      <c r="Q78" s="18" t="n">
        <v>0.98495067</v>
      </c>
      <c r="R78" s="20" t="n">
        <v>0.39946525</v>
      </c>
    </row>
    <row customHeight="1" ht="25" r="79" spans="1:18">
      <c r="A79" s="15" t="s">
        <v>421</v>
      </c>
      <c r="B79" s="17" t="n">
        <v>870</v>
      </c>
      <c r="C79" s="18">
        <f>(727.0/B79*100)</f>
        <v/>
      </c>
      <c r="D79" s="19" t="n">
        <v>143</v>
      </c>
      <c r="E79" s="18" t="n">
        <v>68.42131558</v>
      </c>
      <c r="F79" s="20" t="n">
        <v>4.65532078</v>
      </c>
      <c r="G79" s="18" t="n">
        <v>15.5074089</v>
      </c>
      <c r="H79" s="20" t="n">
        <v>2.99230434</v>
      </c>
      <c r="I79" s="18" t="s">
        <v>349</v>
      </c>
      <c r="J79" s="20" t="s">
        <v>349</v>
      </c>
      <c r="K79" s="18" t="n">
        <v>5.1571076</v>
      </c>
      <c r="L79" s="20" t="n">
        <v>1.755195</v>
      </c>
      <c r="M79" s="18" t="n">
        <v>0</v>
      </c>
      <c r="N79" s="20" t="n">
        <v>0</v>
      </c>
      <c r="O79" s="18" t="n">
        <v>0.32626079</v>
      </c>
      <c r="P79" s="20" t="n">
        <v>0.33354994</v>
      </c>
      <c r="Q79" s="18" t="n">
        <v>10.58790714</v>
      </c>
      <c r="R79" s="20" t="n">
        <v>2.94191709</v>
      </c>
    </row>
    <row r="80" spans="1:18">
      <c r="A80" s="15" t="s">
        <v>422</v>
      </c>
      <c r="B80" s="17" t="n">
        <v>4043</v>
      </c>
      <c r="C80" s="18">
        <f>(3371.0/B80*100)</f>
        <v/>
      </c>
      <c r="D80" s="19" t="n">
        <v>672</v>
      </c>
      <c r="E80" s="18" t="n">
        <v>71.65657305000001</v>
      </c>
      <c r="F80" s="20" t="n">
        <v>2.68624681</v>
      </c>
      <c r="G80" s="18" t="n">
        <v>26.99227428</v>
      </c>
      <c r="H80" s="20" t="n">
        <v>2.69555727</v>
      </c>
      <c r="I80" s="18" t="s">
        <v>349</v>
      </c>
      <c r="J80" s="20" t="s">
        <v>349</v>
      </c>
      <c r="K80" s="18" t="n">
        <v>0</v>
      </c>
      <c r="L80" s="20" t="n">
        <v>0</v>
      </c>
      <c r="M80" s="18" t="n">
        <v>0</v>
      </c>
      <c r="N80" s="20" t="n">
        <v>0</v>
      </c>
      <c r="O80" s="18" t="n">
        <v>0</v>
      </c>
      <c r="P80" s="20" t="n">
        <v>0</v>
      </c>
      <c r="Q80" s="18" t="n">
        <v>1.35115267</v>
      </c>
      <c r="R80" s="20" t="n">
        <v>0.61353446</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(2257.0/B44*100)</f>
        <v/>
      </c>
      <c r="D44" s="19" t="n">
        <v>434</v>
      </c>
      <c r="E44" s="18" t="n">
        <v>36.81100309</v>
      </c>
      <c r="F44" s="20" t="n">
        <v>2.98996185</v>
      </c>
      <c r="G44" s="18" t="n">
        <v>7.41951914</v>
      </c>
      <c r="H44" s="20" t="n">
        <v>1.5507937</v>
      </c>
      <c r="I44" s="18" t="s">
        <v>349</v>
      </c>
      <c r="J44" s="20" t="s">
        <v>349</v>
      </c>
      <c r="K44" s="18" t="n">
        <v>5.46609894</v>
      </c>
      <c r="L44" s="20" t="n">
        <v>1.12650963</v>
      </c>
      <c r="M44" s="18" t="n">
        <v>0</v>
      </c>
      <c r="N44" s="20" t="n">
        <v>0</v>
      </c>
      <c r="O44" s="18" t="n">
        <v>0</v>
      </c>
      <c r="P44" s="20" t="n">
        <v>0</v>
      </c>
      <c r="Q44" s="18" t="n">
        <v>50.30337883</v>
      </c>
      <c r="R44" s="20" t="n">
        <v>3.00602267</v>
      </c>
    </row>
    <row r="45" spans="1:18">
      <c r="A45" s="15" t="s">
        <v>387</v>
      </c>
      <c r="B45" s="17" t="n">
        <v>2670</v>
      </c>
      <c r="C45" s="18">
        <f>(2190.0/B45*100)</f>
        <v/>
      </c>
      <c r="D45" s="19" t="n">
        <v>480</v>
      </c>
      <c r="E45" s="18" t="n">
        <v>53.53331097</v>
      </c>
      <c r="F45" s="20" t="n">
        <v>2.674458</v>
      </c>
      <c r="G45" s="18" t="n">
        <v>2.29201026</v>
      </c>
      <c r="H45" s="20" t="n">
        <v>0.6358327499999999</v>
      </c>
      <c r="I45" s="18" t="s">
        <v>349</v>
      </c>
      <c r="J45" s="20" t="s">
        <v>349</v>
      </c>
      <c r="K45" s="18" t="n">
        <v>9.25254441</v>
      </c>
      <c r="L45" s="20" t="n">
        <v>1.42544606</v>
      </c>
      <c r="M45" s="18" t="n">
        <v>0</v>
      </c>
      <c r="N45" s="20" t="n">
        <v>0</v>
      </c>
      <c r="O45" s="18" t="n">
        <v>0</v>
      </c>
      <c r="P45" s="20" t="n">
        <v>0</v>
      </c>
      <c r="Q45" s="18" t="n">
        <v>34.92213436</v>
      </c>
      <c r="R45" s="20" t="n">
        <v>2.58296862</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(2768.0/B49*100)</f>
        <v/>
      </c>
      <c r="D49" s="19" t="n">
        <v>563</v>
      </c>
      <c r="E49" s="18" t="n">
        <v>51.84688203</v>
      </c>
      <c r="F49" s="20" t="n">
        <v>2.59429987</v>
      </c>
      <c r="G49" s="18" t="n">
        <v>6.13405607</v>
      </c>
      <c r="H49" s="20" t="n">
        <v>1.29735824</v>
      </c>
      <c r="I49" s="18" t="s">
        <v>349</v>
      </c>
      <c r="J49" s="20" t="s">
        <v>349</v>
      </c>
      <c r="K49" s="18" t="n">
        <v>2.97138921</v>
      </c>
      <c r="L49" s="20" t="n">
        <v>0.69165692</v>
      </c>
      <c r="M49" s="18" t="n">
        <v>0</v>
      </c>
      <c r="N49" s="20" t="n">
        <v>0</v>
      </c>
      <c r="O49" s="18" t="n">
        <v>0</v>
      </c>
      <c r="P49" s="20" t="n">
        <v>0</v>
      </c>
      <c r="Q49" s="18" t="n">
        <v>39.04767269</v>
      </c>
      <c r="R49" s="20" t="n">
        <v>2.49428524</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(2137.0/B55*100)</f>
        <v/>
      </c>
      <c r="D55" s="19" t="n">
        <v>420</v>
      </c>
      <c r="E55" s="18" t="n">
        <v>36.23472657</v>
      </c>
      <c r="F55" s="20" t="n">
        <v>2.3258368</v>
      </c>
      <c r="G55" s="18" t="n">
        <v>3.07931648</v>
      </c>
      <c r="H55" s="20" t="n">
        <v>0.86231284</v>
      </c>
      <c r="I55" s="18" t="s">
        <v>349</v>
      </c>
      <c r="J55" s="20" t="s">
        <v>349</v>
      </c>
      <c r="K55" s="18" t="n">
        <v>2.40166166</v>
      </c>
      <c r="L55" s="20" t="n">
        <v>0.64006501</v>
      </c>
      <c r="M55" s="18" t="n">
        <v>0</v>
      </c>
      <c r="N55" s="20" t="n">
        <v>0</v>
      </c>
      <c r="O55" s="18" t="n">
        <v>0.20717614</v>
      </c>
      <c r="P55" s="20" t="n">
        <v>0.21672804</v>
      </c>
      <c r="Q55" s="18" t="n">
        <v>58.07711915</v>
      </c>
      <c r="R55" s="20" t="n">
        <v>2.36482761</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(2769.0/B57*100)</f>
        <v/>
      </c>
      <c r="D57" s="19" t="n">
        <v>574</v>
      </c>
      <c r="E57" s="18" t="n">
        <v>68.050462</v>
      </c>
      <c r="F57" s="20" t="n">
        <v>2.26968626</v>
      </c>
      <c r="G57" s="18" t="n">
        <v>7.97190147</v>
      </c>
      <c r="H57" s="20" t="n">
        <v>1.22576707</v>
      </c>
      <c r="I57" s="18" t="s">
        <v>349</v>
      </c>
      <c r="J57" s="20" t="s">
        <v>349</v>
      </c>
      <c r="K57" s="18" t="n">
        <v>3.47007197</v>
      </c>
      <c r="L57" s="20" t="n">
        <v>0.72771584</v>
      </c>
      <c r="M57" s="18" t="n">
        <v>0</v>
      </c>
      <c r="N57" s="20" t="n">
        <v>0</v>
      </c>
      <c r="O57" s="18" t="n">
        <v>0</v>
      </c>
      <c r="P57" s="20" t="n">
        <v>0</v>
      </c>
      <c r="Q57" s="18" t="n">
        <v>20.50756456</v>
      </c>
      <c r="R57" s="20" t="n">
        <v>2.1430959</v>
      </c>
    </row>
    <row r="58" spans="1:18">
      <c r="A58" s="15" t="s">
        <v>400</v>
      </c>
      <c r="B58" s="17" t="n">
        <v>3737</v>
      </c>
      <c r="C58" s="18">
        <f>(3104.0/B58*100)</f>
        <v/>
      </c>
      <c r="D58" s="19" t="n">
        <v>633</v>
      </c>
      <c r="E58" s="18" t="n">
        <v>70.26773833</v>
      </c>
      <c r="F58" s="20" t="n">
        <v>2.19975775</v>
      </c>
      <c r="G58" s="18" t="n">
        <v>3.92492976</v>
      </c>
      <c r="H58" s="20" t="n">
        <v>1.16958721</v>
      </c>
      <c r="I58" s="18" t="s">
        <v>349</v>
      </c>
      <c r="J58" s="20" t="s">
        <v>349</v>
      </c>
      <c r="K58" s="18" t="n">
        <v>3.46784337</v>
      </c>
      <c r="L58" s="20" t="n">
        <v>0.87798519</v>
      </c>
      <c r="M58" s="18" t="n">
        <v>0</v>
      </c>
      <c r="N58" s="20" t="n">
        <v>0</v>
      </c>
      <c r="O58" s="18" t="n">
        <v>0</v>
      </c>
      <c r="P58" s="20" t="n">
        <v>0</v>
      </c>
      <c r="Q58" s="18" t="n">
        <v>22.33948854</v>
      </c>
      <c r="R58" s="20" t="n">
        <v>2.33807682</v>
      </c>
    </row>
    <row r="59" spans="1:18">
      <c r="A59" s="15" t="s">
        <v>401</v>
      </c>
      <c r="B59" s="17" t="n">
        <v>2278</v>
      </c>
      <c r="C59" s="18">
        <f>(1900.0/B59*100)</f>
        <v/>
      </c>
      <c r="D59" s="19" t="n">
        <v>378</v>
      </c>
      <c r="E59" s="18" t="n">
        <v>49.12034912</v>
      </c>
      <c r="F59" s="20" t="n">
        <v>3.17986716</v>
      </c>
      <c r="G59" s="18" t="n">
        <v>1.996893</v>
      </c>
      <c r="H59" s="20" t="n">
        <v>0.55642535</v>
      </c>
      <c r="I59" s="18" t="s">
        <v>349</v>
      </c>
      <c r="J59" s="20" t="s">
        <v>349</v>
      </c>
      <c r="K59" s="18" t="n">
        <v>2.43953921</v>
      </c>
      <c r="L59" s="20" t="n">
        <v>0.84681989</v>
      </c>
      <c r="M59" s="18" t="n">
        <v>0</v>
      </c>
      <c r="N59" s="20" t="n">
        <v>0</v>
      </c>
      <c r="O59" s="18" t="n">
        <v>0</v>
      </c>
      <c r="P59" s="20" t="n">
        <v>0</v>
      </c>
      <c r="Q59" s="18" t="n">
        <v>46.44321867</v>
      </c>
      <c r="R59" s="20" t="n">
        <v>3.23999933</v>
      </c>
    </row>
    <row r="60" spans="1:18">
      <c r="A60" s="15" t="s">
        <v>402</v>
      </c>
      <c r="B60" s="17" t="n">
        <v>2451</v>
      </c>
      <c r="C60" s="18">
        <f>(2028.0/B60*100)</f>
        <v/>
      </c>
      <c r="D60" s="19" t="n">
        <v>423</v>
      </c>
      <c r="E60" s="18" t="n">
        <v>44.62393214</v>
      </c>
      <c r="F60" s="20" t="n">
        <v>2.56680742</v>
      </c>
      <c r="G60" s="18" t="n">
        <v>3.44042496</v>
      </c>
      <c r="H60" s="20" t="n">
        <v>1.00964114</v>
      </c>
      <c r="I60" s="18" t="s">
        <v>349</v>
      </c>
      <c r="J60" s="20" t="s">
        <v>349</v>
      </c>
      <c r="K60" s="18" t="n">
        <v>8.21928952</v>
      </c>
      <c r="L60" s="20" t="n">
        <v>1.57322305</v>
      </c>
      <c r="M60" s="18" t="n">
        <v>0</v>
      </c>
      <c r="N60" s="20" t="n">
        <v>0</v>
      </c>
      <c r="O60" s="18" t="n">
        <v>1.64346337</v>
      </c>
      <c r="P60" s="20" t="n">
        <v>0.67379101</v>
      </c>
      <c r="Q60" s="18" t="n">
        <v>42.07289002</v>
      </c>
      <c r="R60" s="20" t="n">
        <v>3.01136375</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(2093.0/B63*100)</f>
        <v/>
      </c>
      <c r="D63" s="19" t="n">
        <v>418</v>
      </c>
      <c r="E63" s="18" t="n">
        <v>32.16080106</v>
      </c>
      <c r="F63" s="20" t="n">
        <v>2.3187757</v>
      </c>
      <c r="G63" s="18" t="n">
        <v>2.85793434</v>
      </c>
      <c r="H63" s="20" t="n">
        <v>1.11062739</v>
      </c>
      <c r="I63" s="18" t="s">
        <v>349</v>
      </c>
      <c r="J63" s="20" t="s">
        <v>349</v>
      </c>
      <c r="K63" s="18" t="n">
        <v>2.75170153</v>
      </c>
      <c r="L63" s="20" t="n">
        <v>0.85578201</v>
      </c>
      <c r="M63" s="18" t="n">
        <v>0</v>
      </c>
      <c r="N63" s="20" t="n">
        <v>0</v>
      </c>
      <c r="O63" s="18" t="n">
        <v>0</v>
      </c>
      <c r="P63" s="20" t="n">
        <v>0</v>
      </c>
      <c r="Q63" s="18" t="n">
        <v>62.22956306</v>
      </c>
      <c r="R63" s="20" t="n">
        <v>2.61882921</v>
      </c>
    </row>
    <row r="64" spans="1:18">
      <c r="A64" s="15" t="s">
        <v>406</v>
      </c>
      <c r="B64" s="17" t="n">
        <v>1790</v>
      </c>
      <c r="C64" s="18">
        <f>(1487.0/B64*100)</f>
        <v/>
      </c>
      <c r="D64" s="19" t="n">
        <v>303</v>
      </c>
      <c r="E64" s="18" t="n">
        <v>46.07192677</v>
      </c>
      <c r="F64" s="20" t="n">
        <v>2.6684052</v>
      </c>
      <c r="G64" s="18" t="n">
        <v>27.79391105</v>
      </c>
      <c r="H64" s="20" t="n">
        <v>2.46205249</v>
      </c>
      <c r="I64" s="18" t="s">
        <v>349</v>
      </c>
      <c r="J64" s="20" t="s">
        <v>349</v>
      </c>
      <c r="K64" s="18" t="n">
        <v>3.81306517</v>
      </c>
      <c r="L64" s="20" t="n">
        <v>1.2215907</v>
      </c>
      <c r="M64" s="18" t="n">
        <v>0</v>
      </c>
      <c r="N64" s="20" t="n">
        <v>0</v>
      </c>
      <c r="O64" s="18" t="n">
        <v>0</v>
      </c>
      <c r="P64" s="20" t="n">
        <v>0</v>
      </c>
      <c r="Q64" s="18" t="n">
        <v>22.32109702</v>
      </c>
      <c r="R64" s="20" t="n">
        <v>2.8386761</v>
      </c>
    </row>
    <row r="65" spans="1:18">
      <c r="A65" s="15" t="s">
        <v>407</v>
      </c>
      <c r="B65" s="17" t="n">
        <v>2634</v>
      </c>
      <c r="C65" s="18">
        <f>(2205.0/B65*100)</f>
        <v/>
      </c>
      <c r="D65" s="19" t="n">
        <v>429</v>
      </c>
      <c r="E65" s="18" t="n">
        <v>35.61074625</v>
      </c>
      <c r="F65" s="20" t="n">
        <v>2.26342527</v>
      </c>
      <c r="G65" s="18" t="n">
        <v>5.47485559</v>
      </c>
      <c r="H65" s="20" t="n">
        <v>1.09807756</v>
      </c>
      <c r="I65" s="18" t="s">
        <v>349</v>
      </c>
      <c r="J65" s="20" t="s">
        <v>349</v>
      </c>
      <c r="K65" s="18" t="n">
        <v>9.04620433</v>
      </c>
      <c r="L65" s="20" t="n">
        <v>1.65915419</v>
      </c>
      <c r="M65" s="18" t="n">
        <v>0</v>
      </c>
      <c r="N65" s="20" t="n">
        <v>0</v>
      </c>
      <c r="O65" s="18" t="n">
        <v>0</v>
      </c>
      <c r="P65" s="20" t="n">
        <v>0</v>
      </c>
      <c r="Q65" s="18" t="n">
        <v>49.86819383</v>
      </c>
      <c r="R65" s="20" t="n">
        <v>2.45660666</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(2059.0/B69*100)</f>
        <v/>
      </c>
      <c r="D69" s="19" t="n">
        <v>407</v>
      </c>
      <c r="E69" s="18" t="n">
        <v>89.0847109</v>
      </c>
      <c r="F69" s="20" t="n">
        <v>1.67807107</v>
      </c>
      <c r="G69" s="18" t="n">
        <v>10.9152891</v>
      </c>
      <c r="H69" s="20" t="n">
        <v>1.67807107</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(2041.0/B74*100)</f>
        <v/>
      </c>
      <c r="D74" s="19" t="n">
        <v>412</v>
      </c>
      <c r="E74" s="18" t="n">
        <v>53.46029291</v>
      </c>
      <c r="F74" s="20" t="n">
        <v>2.77863763</v>
      </c>
      <c r="G74" s="18" t="n">
        <v>11.74563535</v>
      </c>
      <c r="H74" s="20" t="n">
        <v>1.8121781</v>
      </c>
      <c r="I74" s="18" t="s">
        <v>349</v>
      </c>
      <c r="J74" s="20" t="s">
        <v>349</v>
      </c>
      <c r="K74" s="18" t="n">
        <v>6.21512378</v>
      </c>
      <c r="L74" s="20" t="n">
        <v>1.16980484</v>
      </c>
      <c r="M74" s="18" t="n">
        <v>0</v>
      </c>
      <c r="N74" s="20" t="n">
        <v>0</v>
      </c>
      <c r="O74" s="18" t="n">
        <v>0</v>
      </c>
      <c r="P74" s="20" t="n">
        <v>0</v>
      </c>
      <c r="Q74" s="18" t="n">
        <v>28.57894796</v>
      </c>
      <c r="R74" s="20" t="n">
        <v>2.3511398</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(2533.0/B78*100)</f>
        <v/>
      </c>
      <c r="D78" s="19" t="n">
        <v>507</v>
      </c>
      <c r="E78" s="18" t="n">
        <v>77.08796864</v>
      </c>
      <c r="F78" s="20" t="n">
        <v>2.11619353</v>
      </c>
      <c r="G78" s="18" t="n">
        <v>16.4474831</v>
      </c>
      <c r="H78" s="20" t="n">
        <v>2.06066649</v>
      </c>
      <c r="I78" s="18" t="s">
        <v>349</v>
      </c>
      <c r="J78" s="20" t="s">
        <v>349</v>
      </c>
      <c r="K78" s="18" t="n">
        <v>0</v>
      </c>
      <c r="L78" s="20" t="n">
        <v>0</v>
      </c>
      <c r="M78" s="18" t="n">
        <v>0</v>
      </c>
      <c r="N78" s="20" t="n">
        <v>0</v>
      </c>
      <c r="O78" s="18" t="n">
        <v>0</v>
      </c>
      <c r="P78" s="20" t="n">
        <v>0</v>
      </c>
      <c r="Q78" s="18" t="n">
        <v>6.46454826</v>
      </c>
      <c r="R78" s="20" t="n">
        <v>1.1434799</v>
      </c>
    </row>
    <row customHeight="1" ht="25" r="79" spans="1:18">
      <c r="A79" s="15" t="s">
        <v>421</v>
      </c>
      <c r="B79" s="17" t="n">
        <v>870</v>
      </c>
      <c r="C79" s="18">
        <f>(727.0/B79*100)</f>
        <v/>
      </c>
      <c r="D79" s="19" t="n">
        <v>143</v>
      </c>
      <c r="E79" s="18" t="n">
        <v>59.68014574</v>
      </c>
      <c r="F79" s="20" t="n">
        <v>4.55949065</v>
      </c>
      <c r="G79" s="18" t="n">
        <v>4.91261216</v>
      </c>
      <c r="H79" s="20" t="n">
        <v>2.16153385</v>
      </c>
      <c r="I79" s="18" t="s">
        <v>349</v>
      </c>
      <c r="J79" s="20" t="s">
        <v>349</v>
      </c>
      <c r="K79" s="18" t="n">
        <v>6.29407278</v>
      </c>
      <c r="L79" s="20" t="n">
        <v>1.90736973</v>
      </c>
      <c r="M79" s="18" t="n">
        <v>0</v>
      </c>
      <c r="N79" s="20" t="n">
        <v>0</v>
      </c>
      <c r="O79" s="18" t="n">
        <v>0</v>
      </c>
      <c r="P79" s="20" t="n">
        <v>0</v>
      </c>
      <c r="Q79" s="18" t="n">
        <v>29.11316931</v>
      </c>
      <c r="R79" s="20" t="n">
        <v>4.42845122</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552</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(2257.0/B44*100)</f>
        <v/>
      </c>
      <c r="D44" s="19" t="n">
        <v>434</v>
      </c>
      <c r="E44" s="18" t="n">
        <v>22.24536416</v>
      </c>
      <c r="F44" s="20" t="n">
        <v>2.65160171</v>
      </c>
      <c r="G44" s="18" t="n">
        <v>3.98859615</v>
      </c>
      <c r="H44" s="20" t="n">
        <v>1.28180996</v>
      </c>
      <c r="I44" s="18" t="s">
        <v>349</v>
      </c>
      <c r="J44" s="20" t="s">
        <v>349</v>
      </c>
      <c r="K44" s="18" t="n">
        <v>5.68737172</v>
      </c>
      <c r="L44" s="20" t="n">
        <v>1.15669177</v>
      </c>
      <c r="M44" s="18" t="n">
        <v>0</v>
      </c>
      <c r="N44" s="20" t="n">
        <v>0</v>
      </c>
      <c r="O44" s="18" t="n">
        <v>0</v>
      </c>
      <c r="P44" s="20" t="n">
        <v>0</v>
      </c>
      <c r="Q44" s="18" t="n">
        <v>68.07866798000001</v>
      </c>
      <c r="R44" s="20" t="n">
        <v>2.8266384</v>
      </c>
    </row>
    <row r="45" spans="1:18">
      <c r="A45" s="15" t="s">
        <v>387</v>
      </c>
      <c r="B45" s="17" t="n">
        <v>2670</v>
      </c>
      <c r="C45" s="18">
        <f>(2190.0/B45*100)</f>
        <v/>
      </c>
      <c r="D45" s="19" t="n">
        <v>480</v>
      </c>
      <c r="E45" s="18" t="n">
        <v>33.01859576</v>
      </c>
      <c r="F45" s="20" t="n">
        <v>2.69951881</v>
      </c>
      <c r="G45" s="18" t="n">
        <v>1.79972499</v>
      </c>
      <c r="H45" s="20" t="n">
        <v>0.62611934</v>
      </c>
      <c r="I45" s="18" t="s">
        <v>349</v>
      </c>
      <c r="J45" s="20" t="s">
        <v>349</v>
      </c>
      <c r="K45" s="18" t="n">
        <v>9.63194725</v>
      </c>
      <c r="L45" s="20" t="n">
        <v>1.37065738</v>
      </c>
      <c r="M45" s="18" t="n">
        <v>0.69149251</v>
      </c>
      <c r="N45" s="20" t="n">
        <v>0.38985525</v>
      </c>
      <c r="O45" s="18" t="n">
        <v>0.24102759</v>
      </c>
      <c r="P45" s="20" t="n">
        <v>0.24232605</v>
      </c>
      <c r="Q45" s="18" t="n">
        <v>54.61721189</v>
      </c>
      <c r="R45" s="20" t="n">
        <v>2.99004006</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(2768.0/B49*100)</f>
        <v/>
      </c>
      <c r="D49" s="19" t="n">
        <v>563</v>
      </c>
      <c r="E49" s="18" t="n">
        <v>33.05938909</v>
      </c>
      <c r="F49" s="20" t="n">
        <v>2.64588913</v>
      </c>
      <c r="G49" s="18" t="n">
        <v>1.27386412</v>
      </c>
      <c r="H49" s="20" t="n">
        <v>0.5263783399999999</v>
      </c>
      <c r="I49" s="18" t="s">
        <v>349</v>
      </c>
      <c r="J49" s="20" t="s">
        <v>349</v>
      </c>
      <c r="K49" s="18" t="n">
        <v>3.36064934</v>
      </c>
      <c r="L49" s="20" t="n">
        <v>0.7744111299999999</v>
      </c>
      <c r="M49" s="18" t="n">
        <v>0</v>
      </c>
      <c r="N49" s="20" t="n">
        <v>0</v>
      </c>
      <c r="O49" s="18" t="n">
        <v>0</v>
      </c>
      <c r="P49" s="20" t="n">
        <v>0</v>
      </c>
      <c r="Q49" s="18" t="n">
        <v>62.30609745</v>
      </c>
      <c r="R49" s="20" t="n">
        <v>2.6617636</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(2137.0/B55*100)</f>
        <v/>
      </c>
      <c r="D55" s="19" t="n">
        <v>420</v>
      </c>
      <c r="E55" s="18" t="n">
        <v>18.00194052</v>
      </c>
      <c r="F55" s="20" t="n">
        <v>2.0160929</v>
      </c>
      <c r="G55" s="18" t="n">
        <v>2.22217774</v>
      </c>
      <c r="H55" s="20" t="n">
        <v>0.62177754</v>
      </c>
      <c r="I55" s="18" t="s">
        <v>349</v>
      </c>
      <c r="J55" s="20" t="s">
        <v>349</v>
      </c>
      <c r="K55" s="18" t="n">
        <v>3.03907646</v>
      </c>
      <c r="L55" s="20" t="n">
        <v>0.96533461</v>
      </c>
      <c r="M55" s="18" t="n">
        <v>0</v>
      </c>
      <c r="N55" s="20" t="n">
        <v>0</v>
      </c>
      <c r="O55" s="18" t="n">
        <v>0</v>
      </c>
      <c r="P55" s="20" t="n">
        <v>0</v>
      </c>
      <c r="Q55" s="18" t="n">
        <v>76.73680528</v>
      </c>
      <c r="R55" s="20" t="n">
        <v>2.18152352</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(2769.0/B57*100)</f>
        <v/>
      </c>
      <c r="D57" s="19" t="n">
        <v>574</v>
      </c>
      <c r="E57" s="18" t="n">
        <v>60.78633967</v>
      </c>
      <c r="F57" s="20" t="n">
        <v>2.92970853</v>
      </c>
      <c r="G57" s="18" t="n">
        <v>5.27981979</v>
      </c>
      <c r="H57" s="20" t="n">
        <v>1.16047394</v>
      </c>
      <c r="I57" s="18" t="s">
        <v>349</v>
      </c>
      <c r="J57" s="20" t="s">
        <v>349</v>
      </c>
      <c r="K57" s="18" t="n">
        <v>3.61519852</v>
      </c>
      <c r="L57" s="20" t="n">
        <v>0.73784652</v>
      </c>
      <c r="M57" s="18" t="n">
        <v>0</v>
      </c>
      <c r="N57" s="20" t="n">
        <v>0</v>
      </c>
      <c r="O57" s="18" t="n">
        <v>0</v>
      </c>
      <c r="P57" s="20" t="n">
        <v>0</v>
      </c>
      <c r="Q57" s="18" t="n">
        <v>30.31864201</v>
      </c>
      <c r="R57" s="20" t="n">
        <v>2.72480941</v>
      </c>
    </row>
    <row r="58" spans="1:18">
      <c r="A58" s="15" t="s">
        <v>400</v>
      </c>
      <c r="B58" s="17" t="n">
        <v>3737</v>
      </c>
      <c r="C58" s="18">
        <f>(3104.0/B58*100)</f>
        <v/>
      </c>
      <c r="D58" s="19" t="n">
        <v>633</v>
      </c>
      <c r="E58" s="18" t="n">
        <v>52.47949144</v>
      </c>
      <c r="F58" s="20" t="n">
        <v>2.46291982</v>
      </c>
      <c r="G58" s="18" t="n">
        <v>0.31200407</v>
      </c>
      <c r="H58" s="20" t="n">
        <v>0.16705457</v>
      </c>
      <c r="I58" s="18" t="s">
        <v>349</v>
      </c>
      <c r="J58" s="20" t="s">
        <v>349</v>
      </c>
      <c r="K58" s="18" t="n">
        <v>4.18985798</v>
      </c>
      <c r="L58" s="20" t="n">
        <v>0.9568129399999999</v>
      </c>
      <c r="M58" s="18" t="n">
        <v>0</v>
      </c>
      <c r="N58" s="20" t="n">
        <v>0</v>
      </c>
      <c r="O58" s="18" t="n">
        <v>0</v>
      </c>
      <c r="P58" s="20" t="n">
        <v>0</v>
      </c>
      <c r="Q58" s="18" t="n">
        <v>43.01864651</v>
      </c>
      <c r="R58" s="20" t="n">
        <v>2.53802829</v>
      </c>
    </row>
    <row r="59" spans="1:18">
      <c r="A59" s="15" t="s">
        <v>401</v>
      </c>
      <c r="B59" s="17" t="n">
        <v>2278</v>
      </c>
      <c r="C59" s="18">
        <f>(1900.0/B59*100)</f>
        <v/>
      </c>
      <c r="D59" s="19" t="n">
        <v>378</v>
      </c>
      <c r="E59" s="18" t="n">
        <v>38.74591197</v>
      </c>
      <c r="F59" s="20" t="n">
        <v>3.06497072</v>
      </c>
      <c r="G59" s="18" t="n">
        <v>0.32790153</v>
      </c>
      <c r="H59" s="20" t="n">
        <v>0.24855563</v>
      </c>
      <c r="I59" s="18" t="s">
        <v>349</v>
      </c>
      <c r="J59" s="20" t="s">
        <v>349</v>
      </c>
      <c r="K59" s="18" t="n">
        <v>2.43953921</v>
      </c>
      <c r="L59" s="20" t="n">
        <v>0.84681989</v>
      </c>
      <c r="M59" s="18" t="n">
        <v>0</v>
      </c>
      <c r="N59" s="20" t="n">
        <v>0</v>
      </c>
      <c r="O59" s="18" t="n">
        <v>0</v>
      </c>
      <c r="P59" s="20" t="n">
        <v>0</v>
      </c>
      <c r="Q59" s="18" t="n">
        <v>58.48664729</v>
      </c>
      <c r="R59" s="20" t="n">
        <v>2.98043289</v>
      </c>
    </row>
    <row r="60" spans="1:18">
      <c r="A60" s="15" t="s">
        <v>402</v>
      </c>
      <c r="B60" s="17" t="n">
        <v>2451</v>
      </c>
      <c r="C60" s="18">
        <f>(2028.0/B60*100)</f>
        <v/>
      </c>
      <c r="D60" s="19" t="n">
        <v>423</v>
      </c>
      <c r="E60" s="18" t="n">
        <v>17.93200471</v>
      </c>
      <c r="F60" s="20" t="n">
        <v>1.93670209</v>
      </c>
      <c r="G60" s="18" t="n">
        <v>2.1401312</v>
      </c>
      <c r="H60" s="20" t="n">
        <v>0.59077671</v>
      </c>
      <c r="I60" s="18" t="s">
        <v>349</v>
      </c>
      <c r="J60" s="20" t="s">
        <v>349</v>
      </c>
      <c r="K60" s="18" t="n">
        <v>9.06546868</v>
      </c>
      <c r="L60" s="20" t="n">
        <v>1.60808362</v>
      </c>
      <c r="M60" s="18" t="n">
        <v>0</v>
      </c>
      <c r="N60" s="20" t="n">
        <v>0</v>
      </c>
      <c r="O60" s="18" t="n">
        <v>1.91875221</v>
      </c>
      <c r="P60" s="20" t="n">
        <v>0.72842076</v>
      </c>
      <c r="Q60" s="18" t="n">
        <v>68.94364321</v>
      </c>
      <c r="R60" s="20" t="n">
        <v>2.62270217</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(2093.0/B63*100)</f>
        <v/>
      </c>
      <c r="D63" s="19" t="n">
        <v>418</v>
      </c>
      <c r="E63" s="18" t="n">
        <v>14.29728312</v>
      </c>
      <c r="F63" s="20" t="n">
        <v>2.01851494</v>
      </c>
      <c r="G63" s="18" t="n">
        <v>2.4772795</v>
      </c>
      <c r="H63" s="20" t="n">
        <v>1.080365</v>
      </c>
      <c r="I63" s="18" t="s">
        <v>349</v>
      </c>
      <c r="J63" s="20" t="s">
        <v>349</v>
      </c>
      <c r="K63" s="18" t="n">
        <v>3.00524138</v>
      </c>
      <c r="L63" s="20" t="n">
        <v>0.8975121</v>
      </c>
      <c r="M63" s="18" t="n">
        <v>0</v>
      </c>
      <c r="N63" s="20" t="n">
        <v>0</v>
      </c>
      <c r="O63" s="18" t="n">
        <v>0</v>
      </c>
      <c r="P63" s="20" t="n">
        <v>0</v>
      </c>
      <c r="Q63" s="18" t="n">
        <v>80.220196</v>
      </c>
      <c r="R63" s="20" t="n">
        <v>2.13546487</v>
      </c>
    </row>
    <row r="64" spans="1:18">
      <c r="A64" s="15" t="s">
        <v>406</v>
      </c>
      <c r="B64" s="17" t="n">
        <v>1790</v>
      </c>
      <c r="C64" s="18">
        <f>(1487.0/B64*100)</f>
        <v/>
      </c>
      <c r="D64" s="19" t="n">
        <v>303</v>
      </c>
      <c r="E64" s="18" t="n">
        <v>34.36606349</v>
      </c>
      <c r="F64" s="20" t="n">
        <v>2.92897766</v>
      </c>
      <c r="G64" s="18" t="n">
        <v>15.61309312</v>
      </c>
      <c r="H64" s="20" t="n">
        <v>1.9689327</v>
      </c>
      <c r="I64" s="18" t="s">
        <v>349</v>
      </c>
      <c r="J64" s="20" t="s">
        <v>349</v>
      </c>
      <c r="K64" s="18" t="n">
        <v>3.81306517</v>
      </c>
      <c r="L64" s="20" t="n">
        <v>1.2215907</v>
      </c>
      <c r="M64" s="18" t="n">
        <v>0</v>
      </c>
      <c r="N64" s="20" t="n">
        <v>0</v>
      </c>
      <c r="O64" s="18" t="n">
        <v>0</v>
      </c>
      <c r="P64" s="20" t="n">
        <v>0</v>
      </c>
      <c r="Q64" s="18" t="n">
        <v>46.20777822</v>
      </c>
      <c r="R64" s="20" t="n">
        <v>3.34613585</v>
      </c>
    </row>
    <row r="65" spans="1:18">
      <c r="A65" s="15" t="s">
        <v>407</v>
      </c>
      <c r="B65" s="17" t="n">
        <v>2634</v>
      </c>
      <c r="C65" s="18">
        <f>(2205.0/B65*100)</f>
        <v/>
      </c>
      <c r="D65" s="19" t="n">
        <v>429</v>
      </c>
      <c r="E65" s="18" t="n">
        <v>21.03821692</v>
      </c>
      <c r="F65" s="20" t="n">
        <v>2.20066124</v>
      </c>
      <c r="G65" s="18" t="n">
        <v>2.23380891</v>
      </c>
      <c r="H65" s="20" t="n">
        <v>0.8096907800000001</v>
      </c>
      <c r="I65" s="18" t="s">
        <v>349</v>
      </c>
      <c r="J65" s="20" t="s">
        <v>349</v>
      </c>
      <c r="K65" s="18" t="n">
        <v>9.88125769</v>
      </c>
      <c r="L65" s="20" t="n">
        <v>1.51857039</v>
      </c>
      <c r="M65" s="18" t="n">
        <v>0</v>
      </c>
      <c r="N65" s="20" t="n">
        <v>0</v>
      </c>
      <c r="O65" s="18" t="n">
        <v>0</v>
      </c>
      <c r="P65" s="20" t="n">
        <v>0</v>
      </c>
      <c r="Q65" s="18" t="n">
        <v>66.84671648</v>
      </c>
      <c r="R65" s="20" t="n">
        <v>2.39958122</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(2059.0/B69*100)</f>
        <v/>
      </c>
      <c r="D69" s="19" t="n">
        <v>407</v>
      </c>
      <c r="E69" s="18" t="n">
        <v>92.17262633999999</v>
      </c>
      <c r="F69" s="20" t="n">
        <v>1.63582683</v>
      </c>
      <c r="G69" s="18" t="n">
        <v>7.59237691</v>
      </c>
      <c r="H69" s="20" t="n">
        <v>1.62666488</v>
      </c>
      <c r="I69" s="18" t="s">
        <v>349</v>
      </c>
      <c r="J69" s="20" t="s">
        <v>349</v>
      </c>
      <c r="K69" s="18" t="n">
        <v>0</v>
      </c>
      <c r="L69" s="20" t="n">
        <v>0</v>
      </c>
      <c r="M69" s="18" t="n">
        <v>0</v>
      </c>
      <c r="N69" s="20" t="n">
        <v>0</v>
      </c>
      <c r="O69" s="18" t="n">
        <v>0</v>
      </c>
      <c r="P69" s="20" t="n">
        <v>0</v>
      </c>
      <c r="Q69" s="18" t="n">
        <v>0.23499675</v>
      </c>
      <c r="R69" s="20" t="n">
        <v>0.23467991</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(2041.0/B74*100)</f>
        <v/>
      </c>
      <c r="D74" s="19" t="n">
        <v>412</v>
      </c>
      <c r="E74" s="18" t="n">
        <v>31.36562796</v>
      </c>
      <c r="F74" s="20" t="n">
        <v>2.32479981</v>
      </c>
      <c r="G74" s="18" t="n">
        <v>3.97033144</v>
      </c>
      <c r="H74" s="20" t="n">
        <v>0.8553328</v>
      </c>
      <c r="I74" s="18" t="s">
        <v>349</v>
      </c>
      <c r="J74" s="20" t="s">
        <v>349</v>
      </c>
      <c r="K74" s="18" t="n">
        <v>6.82501676</v>
      </c>
      <c r="L74" s="20" t="n">
        <v>1.24299115</v>
      </c>
      <c r="M74" s="18" t="n">
        <v>0</v>
      </c>
      <c r="N74" s="20" t="n">
        <v>0</v>
      </c>
      <c r="O74" s="18" t="n">
        <v>0</v>
      </c>
      <c r="P74" s="20" t="n">
        <v>0</v>
      </c>
      <c r="Q74" s="18" t="n">
        <v>57.83902384</v>
      </c>
      <c r="R74" s="20" t="n">
        <v>2.60288399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(2533.0/B78*100)</f>
        <v/>
      </c>
      <c r="D78" s="19" t="n">
        <v>507</v>
      </c>
      <c r="E78" s="18" t="n">
        <v>83.88621203</v>
      </c>
      <c r="F78" s="20" t="n">
        <v>1.70608109</v>
      </c>
      <c r="G78" s="18" t="n">
        <v>6.50138775</v>
      </c>
      <c r="H78" s="20" t="n">
        <v>1.1307587</v>
      </c>
      <c r="I78" s="18" t="s">
        <v>349</v>
      </c>
      <c r="J78" s="20" t="s">
        <v>349</v>
      </c>
      <c r="K78" s="18" t="n">
        <v>0</v>
      </c>
      <c r="L78" s="20" t="n">
        <v>0</v>
      </c>
      <c r="M78" s="18" t="n">
        <v>0</v>
      </c>
      <c r="N78" s="20" t="n">
        <v>0</v>
      </c>
      <c r="O78" s="18" t="n">
        <v>0</v>
      </c>
      <c r="P78" s="20" t="n">
        <v>0</v>
      </c>
      <c r="Q78" s="18" t="n">
        <v>9.612400210000001</v>
      </c>
      <c r="R78" s="20" t="n">
        <v>1.39863526</v>
      </c>
    </row>
    <row customHeight="1" ht="25" r="79" spans="1:18">
      <c r="A79" s="15" t="s">
        <v>421</v>
      </c>
      <c r="B79" s="17" t="n">
        <v>870</v>
      </c>
      <c r="C79" s="18">
        <f>(727.0/B79*100)</f>
        <v/>
      </c>
      <c r="D79" s="19" t="n">
        <v>143</v>
      </c>
      <c r="E79" s="18" t="n">
        <v>34.063378</v>
      </c>
      <c r="F79" s="20" t="n">
        <v>4.12793044</v>
      </c>
      <c r="G79" s="18" t="n">
        <v>2.1463517</v>
      </c>
      <c r="H79" s="20" t="n">
        <v>1.22920273</v>
      </c>
      <c r="I79" s="18" t="s">
        <v>349</v>
      </c>
      <c r="J79" s="20" t="s">
        <v>349</v>
      </c>
      <c r="K79" s="18" t="n">
        <v>6.29407278</v>
      </c>
      <c r="L79" s="20" t="n">
        <v>1.90736973</v>
      </c>
      <c r="M79" s="18" t="n">
        <v>0</v>
      </c>
      <c r="N79" s="20" t="n">
        <v>0</v>
      </c>
      <c r="O79" s="18" t="n">
        <v>0</v>
      </c>
      <c r="P79" s="20" t="n">
        <v>0</v>
      </c>
      <c r="Q79" s="18" t="n">
        <v>57.49619751</v>
      </c>
      <c r="R79" s="20" t="n">
        <v>4.34328558</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(2257.0/B44*100)</f>
        <v/>
      </c>
      <c r="D44" s="19" t="n">
        <v>434</v>
      </c>
      <c r="E44" s="18" t="n">
        <v>56.99965903</v>
      </c>
      <c r="F44" s="20" t="n">
        <v>2.19396313</v>
      </c>
      <c r="G44" s="18" t="n">
        <v>31.04577564</v>
      </c>
      <c r="H44" s="20" t="n">
        <v>2.07985077</v>
      </c>
      <c r="I44" s="18" t="s">
        <v>349</v>
      </c>
      <c r="J44" s="20" t="s">
        <v>349</v>
      </c>
      <c r="K44" s="18" t="n">
        <v>5.68737172</v>
      </c>
      <c r="L44" s="20" t="n">
        <v>1.15669177</v>
      </c>
      <c r="M44" s="18" t="n">
        <v>0</v>
      </c>
      <c r="N44" s="20" t="n">
        <v>0</v>
      </c>
      <c r="O44" s="18" t="n">
        <v>0</v>
      </c>
      <c r="P44" s="20" t="n">
        <v>0</v>
      </c>
      <c r="Q44" s="18" t="n">
        <v>6.26719361</v>
      </c>
      <c r="R44" s="20" t="n">
        <v>1.27994261</v>
      </c>
    </row>
    <row r="45" spans="1:18">
      <c r="A45" s="15" t="s">
        <v>387</v>
      </c>
      <c r="B45" s="17" t="n">
        <v>2670</v>
      </c>
      <c r="C45" s="18">
        <f>(2190.0/B45*100)</f>
        <v/>
      </c>
      <c r="D45" s="19" t="n">
        <v>480</v>
      </c>
      <c r="E45" s="18" t="n">
        <v>70.06348229</v>
      </c>
      <c r="F45" s="20" t="n">
        <v>2.22262502</v>
      </c>
      <c r="G45" s="18" t="n">
        <v>14.80683748</v>
      </c>
      <c r="H45" s="20" t="n">
        <v>1.35684792</v>
      </c>
      <c r="I45" s="18" t="s">
        <v>349</v>
      </c>
      <c r="J45" s="20" t="s">
        <v>349</v>
      </c>
      <c r="K45" s="18" t="n">
        <v>10.28522404</v>
      </c>
      <c r="L45" s="20" t="n">
        <v>1.530847</v>
      </c>
      <c r="M45" s="18" t="n">
        <v>0</v>
      </c>
      <c r="N45" s="20" t="n">
        <v>0</v>
      </c>
      <c r="O45" s="18" t="n">
        <v>0</v>
      </c>
      <c r="P45" s="20" t="n">
        <v>0</v>
      </c>
      <c r="Q45" s="18" t="n">
        <v>4.84445618</v>
      </c>
      <c r="R45" s="20" t="n">
        <v>1.2163939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(2768.0/B49*100)</f>
        <v/>
      </c>
      <c r="D49" s="19" t="n">
        <v>563</v>
      </c>
      <c r="E49" s="18" t="n">
        <v>63.98947216</v>
      </c>
      <c r="F49" s="20" t="n">
        <v>2.12608322</v>
      </c>
      <c r="G49" s="18" t="n">
        <v>29.34069031</v>
      </c>
      <c r="H49" s="20" t="n">
        <v>2.11513367</v>
      </c>
      <c r="I49" s="18" t="s">
        <v>349</v>
      </c>
      <c r="J49" s="20" t="s">
        <v>349</v>
      </c>
      <c r="K49" s="18" t="n">
        <v>3.56591738</v>
      </c>
      <c r="L49" s="20" t="n">
        <v>0.78703337</v>
      </c>
      <c r="M49" s="18" t="n">
        <v>0</v>
      </c>
      <c r="N49" s="20" t="n">
        <v>0</v>
      </c>
      <c r="O49" s="18" t="n">
        <v>0</v>
      </c>
      <c r="P49" s="20" t="n">
        <v>0</v>
      </c>
      <c r="Q49" s="18" t="n">
        <v>3.10392015</v>
      </c>
      <c r="R49" s="20" t="n">
        <v>0.77090187</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(2137.0/B55*100)</f>
        <v/>
      </c>
      <c r="D55" s="19" t="n">
        <v>420</v>
      </c>
      <c r="E55" s="18" t="n">
        <v>60.6162411</v>
      </c>
      <c r="F55" s="20" t="n">
        <v>2.64669832</v>
      </c>
      <c r="G55" s="18" t="n">
        <v>31.91962674</v>
      </c>
      <c r="H55" s="20" t="n">
        <v>2.62093021</v>
      </c>
      <c r="I55" s="18" t="s">
        <v>349</v>
      </c>
      <c r="J55" s="20" t="s">
        <v>349</v>
      </c>
      <c r="K55" s="18" t="n">
        <v>3.03907646</v>
      </c>
      <c r="L55" s="20" t="n">
        <v>0.96533461</v>
      </c>
      <c r="M55" s="18" t="n">
        <v>0</v>
      </c>
      <c r="N55" s="20" t="n">
        <v>0</v>
      </c>
      <c r="O55" s="18" t="n">
        <v>0</v>
      </c>
      <c r="P55" s="20" t="n">
        <v>0</v>
      </c>
      <c r="Q55" s="18" t="n">
        <v>4.4250557</v>
      </c>
      <c r="R55" s="20" t="n">
        <v>1.01232776</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(2769.0/B57*100)</f>
        <v/>
      </c>
      <c r="D57" s="19" t="n">
        <v>574</v>
      </c>
      <c r="E57" s="18" t="n">
        <v>77.34256402</v>
      </c>
      <c r="F57" s="20" t="n">
        <v>1.98366463</v>
      </c>
      <c r="G57" s="18" t="n">
        <v>15.80952547</v>
      </c>
      <c r="H57" s="20" t="n">
        <v>1.65549295</v>
      </c>
      <c r="I57" s="18" t="s">
        <v>349</v>
      </c>
      <c r="J57" s="20" t="s">
        <v>349</v>
      </c>
      <c r="K57" s="18" t="n">
        <v>3.96579993</v>
      </c>
      <c r="L57" s="20" t="n">
        <v>0.90623288</v>
      </c>
      <c r="M57" s="18" t="n">
        <v>0</v>
      </c>
      <c r="N57" s="20" t="n">
        <v>0</v>
      </c>
      <c r="O57" s="18" t="n">
        <v>0</v>
      </c>
      <c r="P57" s="20" t="n">
        <v>0</v>
      </c>
      <c r="Q57" s="18" t="n">
        <v>2.88211058</v>
      </c>
      <c r="R57" s="20" t="n">
        <v>0.7927292</v>
      </c>
    </row>
    <row r="58" spans="1:18">
      <c r="A58" s="15" t="s">
        <v>400</v>
      </c>
      <c r="B58" s="17" t="n">
        <v>3737</v>
      </c>
      <c r="C58" s="18">
        <f>(3104.0/B58*100)</f>
        <v/>
      </c>
      <c r="D58" s="19" t="n">
        <v>633</v>
      </c>
      <c r="E58" s="18" t="n">
        <v>70.51171909</v>
      </c>
      <c r="F58" s="20" t="n">
        <v>2.10008629</v>
      </c>
      <c r="G58" s="18" t="n">
        <v>21.95554106</v>
      </c>
      <c r="H58" s="20" t="n">
        <v>2.01009238</v>
      </c>
      <c r="I58" s="18" t="s">
        <v>349</v>
      </c>
      <c r="J58" s="20" t="s">
        <v>349</v>
      </c>
      <c r="K58" s="18" t="n">
        <v>4.18985798</v>
      </c>
      <c r="L58" s="20" t="n">
        <v>0.9568129399999999</v>
      </c>
      <c r="M58" s="18" t="n">
        <v>0</v>
      </c>
      <c r="N58" s="20" t="n">
        <v>0</v>
      </c>
      <c r="O58" s="18" t="n">
        <v>0</v>
      </c>
      <c r="P58" s="20" t="n">
        <v>0</v>
      </c>
      <c r="Q58" s="18" t="n">
        <v>3.34288188</v>
      </c>
      <c r="R58" s="20" t="n">
        <v>0.97901874</v>
      </c>
    </row>
    <row r="59" spans="1:18">
      <c r="A59" s="15" t="s">
        <v>401</v>
      </c>
      <c r="B59" s="17" t="n">
        <v>2278</v>
      </c>
      <c r="C59" s="18">
        <f>(1900.0/B59*100)</f>
        <v/>
      </c>
      <c r="D59" s="19" t="n">
        <v>378</v>
      </c>
      <c r="E59" s="18" t="n">
        <v>65.54146546</v>
      </c>
      <c r="F59" s="20" t="n">
        <v>3.21979982</v>
      </c>
      <c r="G59" s="18" t="n">
        <v>30.70602457</v>
      </c>
      <c r="H59" s="20" t="n">
        <v>3.08049413</v>
      </c>
      <c r="I59" s="18" t="s">
        <v>349</v>
      </c>
      <c r="J59" s="20" t="s">
        <v>349</v>
      </c>
      <c r="K59" s="18" t="n">
        <v>2.43953921</v>
      </c>
      <c r="L59" s="20" t="n">
        <v>0.84681989</v>
      </c>
      <c r="M59" s="18" t="n">
        <v>0</v>
      </c>
      <c r="N59" s="20" t="n">
        <v>0</v>
      </c>
      <c r="O59" s="18" t="n">
        <v>0</v>
      </c>
      <c r="P59" s="20" t="n">
        <v>0</v>
      </c>
      <c r="Q59" s="18" t="n">
        <v>1.31297076</v>
      </c>
      <c r="R59" s="20" t="n">
        <v>0.60859182</v>
      </c>
    </row>
    <row r="60" spans="1:18">
      <c r="A60" s="15" t="s">
        <v>402</v>
      </c>
      <c r="B60" s="17" t="n">
        <v>2451</v>
      </c>
      <c r="C60" s="18">
        <f>(2028.0/B60*100)</f>
        <v/>
      </c>
      <c r="D60" s="19" t="n">
        <v>423</v>
      </c>
      <c r="E60" s="18" t="n">
        <v>64.87630086999999</v>
      </c>
      <c r="F60" s="20" t="n">
        <v>2.68446678</v>
      </c>
      <c r="G60" s="18" t="n">
        <v>22.94952551</v>
      </c>
      <c r="H60" s="20" t="n">
        <v>2.29829634</v>
      </c>
      <c r="I60" s="18" t="s">
        <v>349</v>
      </c>
      <c r="J60" s="20" t="s">
        <v>349</v>
      </c>
      <c r="K60" s="18" t="n">
        <v>9.38842472</v>
      </c>
      <c r="L60" s="20" t="n">
        <v>1.63294122</v>
      </c>
      <c r="M60" s="18" t="n">
        <v>0</v>
      </c>
      <c r="N60" s="20" t="n">
        <v>0</v>
      </c>
      <c r="O60" s="18" t="n">
        <v>0</v>
      </c>
      <c r="P60" s="20" t="n">
        <v>0</v>
      </c>
      <c r="Q60" s="18" t="n">
        <v>2.78574891</v>
      </c>
      <c r="R60" s="20" t="n">
        <v>0.85223581</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(2093.0/B63*100)</f>
        <v/>
      </c>
      <c r="D63" s="19" t="n">
        <v>418</v>
      </c>
      <c r="E63" s="18" t="n">
        <v>59.16046478</v>
      </c>
      <c r="F63" s="20" t="n">
        <v>2.18779842</v>
      </c>
      <c r="G63" s="18" t="n">
        <v>32.85548135</v>
      </c>
      <c r="H63" s="20" t="n">
        <v>2.23780904</v>
      </c>
      <c r="I63" s="18" t="s">
        <v>349</v>
      </c>
      <c r="J63" s="20" t="s">
        <v>349</v>
      </c>
      <c r="K63" s="18" t="n">
        <v>3.00524138</v>
      </c>
      <c r="L63" s="20" t="n">
        <v>0.8975121</v>
      </c>
      <c r="M63" s="18" t="n">
        <v>0</v>
      </c>
      <c r="N63" s="20" t="n">
        <v>0</v>
      </c>
      <c r="O63" s="18" t="n">
        <v>0</v>
      </c>
      <c r="P63" s="20" t="n">
        <v>0</v>
      </c>
      <c r="Q63" s="18" t="n">
        <v>4.97881249</v>
      </c>
      <c r="R63" s="20" t="n">
        <v>0.98874175</v>
      </c>
    </row>
    <row r="64" spans="1:18">
      <c r="A64" s="15" t="s">
        <v>406</v>
      </c>
      <c r="B64" s="17" t="n">
        <v>1790</v>
      </c>
      <c r="C64" s="18">
        <f>(1487.0/B64*100)</f>
        <v/>
      </c>
      <c r="D64" s="19" t="n">
        <v>303</v>
      </c>
      <c r="E64" s="18" t="n">
        <v>61.01858892</v>
      </c>
      <c r="F64" s="20" t="n">
        <v>2.81364729</v>
      </c>
      <c r="G64" s="18" t="n">
        <v>34.72164178</v>
      </c>
      <c r="H64" s="20" t="n">
        <v>2.39455542</v>
      </c>
      <c r="I64" s="18" t="s">
        <v>349</v>
      </c>
      <c r="J64" s="20" t="s">
        <v>349</v>
      </c>
      <c r="K64" s="18" t="n">
        <v>3.81306517</v>
      </c>
      <c r="L64" s="20" t="n">
        <v>1.2215907</v>
      </c>
      <c r="M64" s="18" t="n">
        <v>0</v>
      </c>
      <c r="N64" s="20" t="n">
        <v>0</v>
      </c>
      <c r="O64" s="18" t="n">
        <v>0</v>
      </c>
      <c r="P64" s="20" t="n">
        <v>0</v>
      </c>
      <c r="Q64" s="18" t="n">
        <v>0.44670414</v>
      </c>
      <c r="R64" s="20" t="n">
        <v>0.42381654</v>
      </c>
    </row>
    <row r="65" spans="1:18">
      <c r="A65" s="15" t="s">
        <v>407</v>
      </c>
      <c r="B65" s="17" t="n">
        <v>2634</v>
      </c>
      <c r="C65" s="18">
        <f>(2205.0/B65*100)</f>
        <v/>
      </c>
      <c r="D65" s="19" t="n">
        <v>429</v>
      </c>
      <c r="E65" s="18" t="n">
        <v>57.61762904</v>
      </c>
      <c r="F65" s="20" t="n">
        <v>2.61757168</v>
      </c>
      <c r="G65" s="18" t="n">
        <v>31.31531455</v>
      </c>
      <c r="H65" s="20" t="n">
        <v>2.47569935</v>
      </c>
      <c r="I65" s="18" t="s">
        <v>349</v>
      </c>
      <c r="J65" s="20" t="s">
        <v>349</v>
      </c>
      <c r="K65" s="18" t="n">
        <v>9.88125769</v>
      </c>
      <c r="L65" s="20" t="n">
        <v>1.51857039</v>
      </c>
      <c r="M65" s="18" t="n">
        <v>0</v>
      </c>
      <c r="N65" s="20" t="n">
        <v>0</v>
      </c>
      <c r="O65" s="18" t="n">
        <v>0</v>
      </c>
      <c r="P65" s="20" t="n">
        <v>0</v>
      </c>
      <c r="Q65" s="18" t="n">
        <v>1.18579872</v>
      </c>
      <c r="R65" s="20" t="n">
        <v>0.50653403</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(2059.0/B69*100)</f>
        <v/>
      </c>
      <c r="D69" s="19" t="n">
        <v>407</v>
      </c>
      <c r="E69" s="18" t="n">
        <v>64.19223479</v>
      </c>
      <c r="F69" s="20" t="n">
        <v>2.76626407</v>
      </c>
      <c r="G69" s="18" t="n">
        <v>35.80776521</v>
      </c>
      <c r="H69" s="20" t="n">
        <v>2.76626407</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(2041.0/B74*100)</f>
        <v/>
      </c>
      <c r="D74" s="19" t="n">
        <v>412</v>
      </c>
      <c r="E74" s="18" t="n">
        <v>57.68599449</v>
      </c>
      <c r="F74" s="20" t="n">
        <v>2.71795287</v>
      </c>
      <c r="G74" s="18" t="n">
        <v>32.75604541</v>
      </c>
      <c r="H74" s="20" t="n">
        <v>2.74578495</v>
      </c>
      <c r="I74" s="18" t="s">
        <v>349</v>
      </c>
      <c r="J74" s="20" t="s">
        <v>349</v>
      </c>
      <c r="K74" s="18" t="n">
        <v>7.40929316</v>
      </c>
      <c r="L74" s="20" t="n">
        <v>1.26994392</v>
      </c>
      <c r="M74" s="18" t="n">
        <v>0</v>
      </c>
      <c r="N74" s="20" t="n">
        <v>0</v>
      </c>
      <c r="O74" s="18" t="n">
        <v>0</v>
      </c>
      <c r="P74" s="20" t="n">
        <v>0</v>
      </c>
      <c r="Q74" s="18" t="n">
        <v>2.14866695</v>
      </c>
      <c r="R74" s="20" t="n">
        <v>0.63931203</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(2533.0/B78*100)</f>
        <v/>
      </c>
      <c r="D78" s="19" t="n">
        <v>507</v>
      </c>
      <c r="E78" s="18" t="n">
        <v>37.01804734</v>
      </c>
      <c r="F78" s="20" t="n">
        <v>2.59029988</v>
      </c>
      <c r="G78" s="18" t="n">
        <v>62.98195266</v>
      </c>
      <c r="H78" s="20" t="n">
        <v>2.59029988</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(727.0/B79*100)</f>
        <v/>
      </c>
      <c r="D79" s="19" t="n">
        <v>143</v>
      </c>
      <c r="E79" s="18" t="n">
        <v>47.75737778</v>
      </c>
      <c r="F79" s="20" t="n">
        <v>4.3656542</v>
      </c>
      <c r="G79" s="18" t="n">
        <v>39.72901652</v>
      </c>
      <c r="H79" s="20" t="n">
        <v>3.94303377</v>
      </c>
      <c r="I79" s="18" t="s">
        <v>349</v>
      </c>
      <c r="J79" s="20" t="s">
        <v>349</v>
      </c>
      <c r="K79" s="18" t="n">
        <v>6.29407278</v>
      </c>
      <c r="L79" s="20" t="n">
        <v>1.90736973</v>
      </c>
      <c r="M79" s="18" t="n">
        <v>0</v>
      </c>
      <c r="N79" s="20" t="n">
        <v>0</v>
      </c>
      <c r="O79" s="18" t="n">
        <v>0</v>
      </c>
      <c r="P79" s="20" t="n">
        <v>0</v>
      </c>
      <c r="Q79" s="18" t="n">
        <v>6.21953291</v>
      </c>
      <c r="R79" s="20" t="n">
        <v>2.07469461</v>
      </c>
    </row>
    <row r="80" spans="1:18">
      <c r="A80" s="15" t="s">
        <v>422</v>
      </c>
      <c r="B80" s="17" t="n">
        <v>4043</v>
      </c>
      <c r="C80" s="18">
        <f>(3371.0/B80*100)</f>
        <v/>
      </c>
      <c r="D80" s="19" t="n">
        <v>672</v>
      </c>
      <c r="E80" s="18" t="n">
        <v>66.52294304999999</v>
      </c>
      <c r="F80" s="20" t="n">
        <v>2.97396348</v>
      </c>
      <c r="G80" s="18" t="n">
        <v>33.47705695</v>
      </c>
      <c r="H80" s="20" t="n">
        <v>2.97396348</v>
      </c>
      <c r="I80" s="18" t="s">
        <v>349</v>
      </c>
      <c r="J80" s="20" t="s">
        <v>349</v>
      </c>
      <c r="K80" s="18" t="n">
        <v>0</v>
      </c>
      <c r="L80" s="20" t="n">
        <v>0</v>
      </c>
      <c r="M80" s="18" t="n">
        <v>0</v>
      </c>
      <c r="N80" s="20" t="n">
        <v>0</v>
      </c>
      <c r="O80" s="18" t="n">
        <v>0</v>
      </c>
      <c r="P80" s="20" t="n">
        <v>0</v>
      </c>
      <c r="Q80" s="18" t="n">
        <v>0</v>
      </c>
      <c r="R80" s="20" t="n">
        <v>0</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(2257.0/B44*100)</f>
        <v/>
      </c>
      <c r="D44" s="19" t="n">
        <v>434</v>
      </c>
      <c r="E44" s="18" t="n">
        <v>54.84961726</v>
      </c>
      <c r="F44" s="20" t="n">
        <v>2.69562832</v>
      </c>
      <c r="G44" s="18" t="n">
        <v>23.0736939</v>
      </c>
      <c r="H44" s="20" t="n">
        <v>2.45201504</v>
      </c>
      <c r="I44" s="18" t="s">
        <v>349</v>
      </c>
      <c r="J44" s="20" t="s">
        <v>349</v>
      </c>
      <c r="K44" s="18" t="n">
        <v>8.520056139999999</v>
      </c>
      <c r="L44" s="20" t="n">
        <v>1.49927234</v>
      </c>
      <c r="M44" s="18" t="n">
        <v>0</v>
      </c>
      <c r="N44" s="20" t="n">
        <v>0</v>
      </c>
      <c r="O44" s="18" t="n">
        <v>3.67844759</v>
      </c>
      <c r="P44" s="20" t="n">
        <v>1.22263085</v>
      </c>
      <c r="Q44" s="18" t="n">
        <v>9.87818511</v>
      </c>
      <c r="R44" s="20" t="n">
        <v>1.70055372</v>
      </c>
    </row>
    <row r="45" spans="1:18">
      <c r="A45" s="15" t="s">
        <v>387</v>
      </c>
      <c r="B45" s="17" t="n">
        <v>2670</v>
      </c>
      <c r="C45" s="18">
        <f>(2190.0/B45*100)</f>
        <v/>
      </c>
      <c r="D45" s="19" t="n">
        <v>480</v>
      </c>
      <c r="E45" s="18" t="n">
        <v>53.16162552</v>
      </c>
      <c r="F45" s="20" t="n">
        <v>3.01506167</v>
      </c>
      <c r="G45" s="18" t="n">
        <v>17.08960647</v>
      </c>
      <c r="H45" s="20" t="n">
        <v>1.79982649</v>
      </c>
      <c r="I45" s="18" t="s">
        <v>349</v>
      </c>
      <c r="J45" s="20" t="s">
        <v>349</v>
      </c>
      <c r="K45" s="18" t="n">
        <v>14.24498437</v>
      </c>
      <c r="L45" s="20" t="n">
        <v>2.00084061</v>
      </c>
      <c r="M45" s="18" t="n">
        <v>1.95606995</v>
      </c>
      <c r="N45" s="20" t="n">
        <v>0.6861458</v>
      </c>
      <c r="O45" s="18" t="n">
        <v>4.13730512</v>
      </c>
      <c r="P45" s="20" t="n">
        <v>0.89371794</v>
      </c>
      <c r="Q45" s="18" t="n">
        <v>9.41040857</v>
      </c>
      <c r="R45" s="20" t="n">
        <v>1.50208496</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(2768.0/B49*100)</f>
        <v/>
      </c>
      <c r="D49" s="19" t="n">
        <v>563</v>
      </c>
      <c r="E49" s="18" t="n">
        <v>53.11588646</v>
      </c>
      <c r="F49" s="20" t="n">
        <v>2.72998064</v>
      </c>
      <c r="G49" s="18" t="n">
        <v>28.81150962</v>
      </c>
      <c r="H49" s="20" t="n">
        <v>2.30870209</v>
      </c>
      <c r="I49" s="18" t="s">
        <v>349</v>
      </c>
      <c r="J49" s="20" t="s">
        <v>349</v>
      </c>
      <c r="K49" s="18" t="n">
        <v>6.07672475</v>
      </c>
      <c r="L49" s="20" t="n">
        <v>1.19677548</v>
      </c>
      <c r="M49" s="18" t="n">
        <v>0</v>
      </c>
      <c r="N49" s="20" t="n">
        <v>0</v>
      </c>
      <c r="O49" s="18" t="n">
        <v>2.26925878</v>
      </c>
      <c r="P49" s="20" t="n">
        <v>0.71676343</v>
      </c>
      <c r="Q49" s="18" t="n">
        <v>9.726620390000001</v>
      </c>
      <c r="R49" s="20" t="n">
        <v>1.51156313</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(2137.0/B55*100)</f>
        <v/>
      </c>
      <c r="D55" s="19" t="n">
        <v>420</v>
      </c>
      <c r="E55" s="18" t="n">
        <v>61.38365487</v>
      </c>
      <c r="F55" s="20" t="n">
        <v>2.59524806</v>
      </c>
      <c r="G55" s="18" t="n">
        <v>25.61540508</v>
      </c>
      <c r="H55" s="20" t="n">
        <v>2.09455071</v>
      </c>
      <c r="I55" s="18" t="s">
        <v>349</v>
      </c>
      <c r="J55" s="20" t="s">
        <v>349</v>
      </c>
      <c r="K55" s="18" t="n">
        <v>4.16464815</v>
      </c>
      <c r="L55" s="20" t="n">
        <v>1.11861504</v>
      </c>
      <c r="M55" s="18" t="n">
        <v>0</v>
      </c>
      <c r="N55" s="20" t="n">
        <v>0</v>
      </c>
      <c r="O55" s="18" t="n">
        <v>1.05271091</v>
      </c>
      <c r="P55" s="20" t="n">
        <v>0.54370515</v>
      </c>
      <c r="Q55" s="18" t="n">
        <v>7.78358099</v>
      </c>
      <c r="R55" s="20" t="n">
        <v>1.42782751</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(2769.0/B57*100)</f>
        <v/>
      </c>
      <c r="D57" s="19" t="n">
        <v>574</v>
      </c>
      <c r="E57" s="18" t="n">
        <v>71.5256969</v>
      </c>
      <c r="F57" s="20" t="n">
        <v>1.99356962</v>
      </c>
      <c r="G57" s="18" t="n">
        <v>20.53505735</v>
      </c>
      <c r="H57" s="20" t="n">
        <v>1.6422855</v>
      </c>
      <c r="I57" s="18" t="s">
        <v>349</v>
      </c>
      <c r="J57" s="20" t="s">
        <v>349</v>
      </c>
      <c r="K57" s="18" t="n">
        <v>4.61888941</v>
      </c>
      <c r="L57" s="20" t="n">
        <v>1.00992773</v>
      </c>
      <c r="M57" s="18" t="n">
        <v>0</v>
      </c>
      <c r="N57" s="20" t="n">
        <v>0</v>
      </c>
      <c r="O57" s="18" t="n">
        <v>0</v>
      </c>
      <c r="P57" s="20" t="n">
        <v>0</v>
      </c>
      <c r="Q57" s="18" t="n">
        <v>3.32035634</v>
      </c>
      <c r="R57" s="20" t="n">
        <v>0.85110947</v>
      </c>
    </row>
    <row r="58" spans="1:18">
      <c r="A58" s="15" t="s">
        <v>400</v>
      </c>
      <c r="B58" s="17" t="n">
        <v>3737</v>
      </c>
      <c r="C58" s="18">
        <f>(3104.0/B58*100)</f>
        <v/>
      </c>
      <c r="D58" s="19" t="n">
        <v>633</v>
      </c>
      <c r="E58" s="18" t="n">
        <v>69.54378308</v>
      </c>
      <c r="F58" s="20" t="n">
        <v>1.86814582</v>
      </c>
      <c r="G58" s="18" t="n">
        <v>20.75662222</v>
      </c>
      <c r="H58" s="20" t="n">
        <v>1.66491911</v>
      </c>
      <c r="I58" s="18" t="s">
        <v>349</v>
      </c>
      <c r="J58" s="20" t="s">
        <v>349</v>
      </c>
      <c r="K58" s="18" t="n">
        <v>4.9137895</v>
      </c>
      <c r="L58" s="20" t="n">
        <v>0.98978823</v>
      </c>
      <c r="M58" s="18" t="n">
        <v>0</v>
      </c>
      <c r="N58" s="20" t="n">
        <v>0</v>
      </c>
      <c r="O58" s="18" t="n">
        <v>0.76498561</v>
      </c>
      <c r="P58" s="20" t="n">
        <v>0.43909493</v>
      </c>
      <c r="Q58" s="18" t="n">
        <v>4.02081959</v>
      </c>
      <c r="R58" s="20" t="n">
        <v>0.81308224</v>
      </c>
    </row>
    <row r="59" spans="1:18">
      <c r="A59" s="15" t="s">
        <v>401</v>
      </c>
      <c r="B59" s="17" t="n">
        <v>2278</v>
      </c>
      <c r="C59" s="18">
        <f>(1900.0/B59*100)</f>
        <v/>
      </c>
      <c r="D59" s="19" t="n">
        <v>378</v>
      </c>
      <c r="E59" s="18" t="n">
        <v>75.40966566</v>
      </c>
      <c r="F59" s="20" t="n">
        <v>2.75957676</v>
      </c>
      <c r="G59" s="18" t="n">
        <v>16.99409915</v>
      </c>
      <c r="H59" s="20" t="n">
        <v>2.33790774</v>
      </c>
      <c r="I59" s="18" t="s">
        <v>349</v>
      </c>
      <c r="J59" s="20" t="s">
        <v>349</v>
      </c>
      <c r="K59" s="18" t="n">
        <v>2.79436405</v>
      </c>
      <c r="L59" s="20" t="n">
        <v>0.91652059</v>
      </c>
      <c r="M59" s="18" t="n">
        <v>0</v>
      </c>
      <c r="N59" s="20" t="n">
        <v>0</v>
      </c>
      <c r="O59" s="18" t="n">
        <v>2.75645856</v>
      </c>
      <c r="P59" s="20" t="n">
        <v>1.24166682</v>
      </c>
      <c r="Q59" s="18" t="n">
        <v>2.04541258</v>
      </c>
      <c r="R59" s="20" t="n">
        <v>0.68075325</v>
      </c>
    </row>
    <row r="60" spans="1:18">
      <c r="A60" s="15" t="s">
        <v>402</v>
      </c>
      <c r="B60" s="17" t="n">
        <v>2451</v>
      </c>
      <c r="C60" s="18">
        <f>(2028.0/B60*100)</f>
        <v/>
      </c>
      <c r="D60" s="19" t="n">
        <v>423</v>
      </c>
      <c r="E60" s="18" t="n">
        <v>54.90210949</v>
      </c>
      <c r="F60" s="20" t="n">
        <v>2.94466642</v>
      </c>
      <c r="G60" s="18" t="n">
        <v>20.06650914</v>
      </c>
      <c r="H60" s="20" t="n">
        <v>2.28997822</v>
      </c>
      <c r="I60" s="18" t="s">
        <v>349</v>
      </c>
      <c r="J60" s="20" t="s">
        <v>349</v>
      </c>
      <c r="K60" s="18" t="n">
        <v>12.65812626</v>
      </c>
      <c r="L60" s="20" t="n">
        <v>1.77562988</v>
      </c>
      <c r="M60" s="18" t="n">
        <v>0</v>
      </c>
      <c r="N60" s="20" t="n">
        <v>0</v>
      </c>
      <c r="O60" s="18" t="n">
        <v>2.99332793</v>
      </c>
      <c r="P60" s="20" t="n">
        <v>0.7286863099999999</v>
      </c>
      <c r="Q60" s="18" t="n">
        <v>9.379927179999999</v>
      </c>
      <c r="R60" s="20" t="n">
        <v>1.5024989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(2093.0/B63*100)</f>
        <v/>
      </c>
      <c r="D63" s="19" t="n">
        <v>418</v>
      </c>
      <c r="E63" s="18" t="n">
        <v>63.65123965</v>
      </c>
      <c r="F63" s="20" t="n">
        <v>2.51333629</v>
      </c>
      <c r="G63" s="18" t="n">
        <v>22.16663106</v>
      </c>
      <c r="H63" s="20" t="n">
        <v>2.23077676</v>
      </c>
      <c r="I63" s="18" t="s">
        <v>349</v>
      </c>
      <c r="J63" s="20" t="s">
        <v>349</v>
      </c>
      <c r="K63" s="18" t="n">
        <v>4.94091894</v>
      </c>
      <c r="L63" s="20" t="n">
        <v>1.0703755</v>
      </c>
      <c r="M63" s="18" t="n">
        <v>0</v>
      </c>
      <c r="N63" s="20" t="n">
        <v>0</v>
      </c>
      <c r="O63" s="18" t="n">
        <v>0.25505832</v>
      </c>
      <c r="P63" s="20" t="n">
        <v>0.25755835</v>
      </c>
      <c r="Q63" s="18" t="n">
        <v>8.98615202</v>
      </c>
      <c r="R63" s="20" t="n">
        <v>1.62629481</v>
      </c>
    </row>
    <row r="64" spans="1:18">
      <c r="A64" s="15" t="s">
        <v>406</v>
      </c>
      <c r="B64" s="17" t="n">
        <v>1790</v>
      </c>
      <c r="C64" s="18">
        <f>(1487.0/B64*100)</f>
        <v/>
      </c>
      <c r="D64" s="19" t="n">
        <v>303</v>
      </c>
      <c r="E64" s="18" t="n">
        <v>39.94153483</v>
      </c>
      <c r="F64" s="20" t="n">
        <v>2.4566231</v>
      </c>
      <c r="G64" s="18" t="n">
        <v>49.40966297</v>
      </c>
      <c r="H64" s="20" t="n">
        <v>2.54198688</v>
      </c>
      <c r="I64" s="18" t="s">
        <v>349</v>
      </c>
      <c r="J64" s="20" t="s">
        <v>349</v>
      </c>
      <c r="K64" s="18" t="n">
        <v>4.96388334</v>
      </c>
      <c r="L64" s="20" t="n">
        <v>1.13266449</v>
      </c>
      <c r="M64" s="18" t="n">
        <v>0</v>
      </c>
      <c r="N64" s="20" t="n">
        <v>0</v>
      </c>
      <c r="O64" s="18" t="n">
        <v>1.06937163</v>
      </c>
      <c r="P64" s="20" t="n">
        <v>0.57838153</v>
      </c>
      <c r="Q64" s="18" t="n">
        <v>4.61554722</v>
      </c>
      <c r="R64" s="20" t="n">
        <v>1.13029498</v>
      </c>
    </row>
    <row r="65" spans="1:18">
      <c r="A65" s="15" t="s">
        <v>407</v>
      </c>
      <c r="B65" s="17" t="n">
        <v>2634</v>
      </c>
      <c r="C65" s="18">
        <f>(2205.0/B65*100)</f>
        <v/>
      </c>
      <c r="D65" s="19" t="n">
        <v>429</v>
      </c>
      <c r="E65" s="18" t="n">
        <v>55.16877743</v>
      </c>
      <c r="F65" s="20" t="n">
        <v>2.31599034</v>
      </c>
      <c r="G65" s="18" t="n">
        <v>23.84117984</v>
      </c>
      <c r="H65" s="20" t="n">
        <v>1.96747553</v>
      </c>
      <c r="I65" s="18" t="s">
        <v>349</v>
      </c>
      <c r="J65" s="20" t="s">
        <v>349</v>
      </c>
      <c r="K65" s="18" t="n">
        <v>10.77807562</v>
      </c>
      <c r="L65" s="20" t="n">
        <v>1.54240748</v>
      </c>
      <c r="M65" s="18" t="n">
        <v>1.98248216</v>
      </c>
      <c r="N65" s="20" t="n">
        <v>0.66406775</v>
      </c>
      <c r="O65" s="18" t="n">
        <v>0.22934599</v>
      </c>
      <c r="P65" s="20" t="n">
        <v>0.22821479</v>
      </c>
      <c r="Q65" s="18" t="n">
        <v>8.00013897</v>
      </c>
      <c r="R65" s="20" t="n">
        <v>1.59671134</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(2059.0/B69*100)</f>
        <v/>
      </c>
      <c r="D69" s="19" t="n">
        <v>407</v>
      </c>
      <c r="E69" s="18" t="n">
        <v>73.83564698000001</v>
      </c>
      <c r="F69" s="20" t="n">
        <v>2.48919646</v>
      </c>
      <c r="G69" s="18" t="n">
        <v>25.92754926</v>
      </c>
      <c r="H69" s="20" t="n">
        <v>2.45793774</v>
      </c>
      <c r="I69" s="18" t="s">
        <v>349</v>
      </c>
      <c r="J69" s="20" t="s">
        <v>349</v>
      </c>
      <c r="K69" s="18" t="n">
        <v>0</v>
      </c>
      <c r="L69" s="20" t="n">
        <v>0</v>
      </c>
      <c r="M69" s="18" t="n">
        <v>0</v>
      </c>
      <c r="N69" s="20" t="n">
        <v>0</v>
      </c>
      <c r="O69" s="18" t="n">
        <v>0</v>
      </c>
      <c r="P69" s="20" t="n">
        <v>0</v>
      </c>
      <c r="Q69" s="18" t="n">
        <v>0.23680376</v>
      </c>
      <c r="R69" s="20" t="n">
        <v>0.23777255</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(2041.0/B74*100)</f>
        <v/>
      </c>
      <c r="D74" s="19" t="n">
        <v>412</v>
      </c>
      <c r="E74" s="18" t="n">
        <v>51.88690441</v>
      </c>
      <c r="F74" s="20" t="n">
        <v>2.37981185</v>
      </c>
      <c r="G74" s="18" t="n">
        <v>31.90712456</v>
      </c>
      <c r="H74" s="20" t="n">
        <v>2.04110647</v>
      </c>
      <c r="I74" s="18" t="s">
        <v>349</v>
      </c>
      <c r="J74" s="20" t="s">
        <v>349</v>
      </c>
      <c r="K74" s="18" t="n">
        <v>8.182444419999999</v>
      </c>
      <c r="L74" s="20" t="n">
        <v>1.32815798</v>
      </c>
      <c r="M74" s="18" t="n">
        <v>0</v>
      </c>
      <c r="N74" s="20" t="n">
        <v>0</v>
      </c>
      <c r="O74" s="18" t="n">
        <v>0</v>
      </c>
      <c r="P74" s="20" t="n">
        <v>0</v>
      </c>
      <c r="Q74" s="18" t="n">
        <v>8.023526609999999</v>
      </c>
      <c r="R74" s="20" t="n">
        <v>1.34526554</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(2533.0/B78*100)</f>
        <v/>
      </c>
      <c r="D78" s="19" t="n">
        <v>507</v>
      </c>
      <c r="E78" s="18" t="n">
        <v>49.08037442</v>
      </c>
      <c r="F78" s="20" t="n">
        <v>2.52295701</v>
      </c>
      <c r="G78" s="18" t="n">
        <v>50.91962558</v>
      </c>
      <c r="H78" s="20" t="n">
        <v>2.52295701</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(727.0/B79*100)</f>
        <v/>
      </c>
      <c r="D79" s="19" t="n">
        <v>143</v>
      </c>
      <c r="E79" s="18" t="n">
        <v>47.38252118</v>
      </c>
      <c r="F79" s="20" t="n">
        <v>4.81228011</v>
      </c>
      <c r="G79" s="18" t="n">
        <v>29.67245815</v>
      </c>
      <c r="H79" s="20" t="n">
        <v>3.65095491</v>
      </c>
      <c r="I79" s="18" t="s">
        <v>349</v>
      </c>
      <c r="J79" s="20" t="s">
        <v>349</v>
      </c>
      <c r="K79" s="18" t="n">
        <v>11.55989376</v>
      </c>
      <c r="L79" s="20" t="n">
        <v>2.48078587</v>
      </c>
      <c r="M79" s="18" t="n">
        <v>0</v>
      </c>
      <c r="N79" s="20" t="n">
        <v>0</v>
      </c>
      <c r="O79" s="18" t="n">
        <v>0</v>
      </c>
      <c r="P79" s="20" t="n">
        <v>0</v>
      </c>
      <c r="Q79" s="18" t="n">
        <v>11.38512691</v>
      </c>
      <c r="R79" s="20" t="n">
        <v>2.58415642</v>
      </c>
    </row>
    <row r="80" spans="1:18">
      <c r="A80" s="15" t="s">
        <v>422</v>
      </c>
      <c r="B80" s="17" t="n">
        <v>4043</v>
      </c>
      <c r="C80" s="18">
        <f>(3371.0/B80*100)</f>
        <v/>
      </c>
      <c r="D80" s="19" t="n">
        <v>672</v>
      </c>
      <c r="E80" s="18" t="n">
        <v>64.18525855</v>
      </c>
      <c r="F80" s="20" t="n">
        <v>3.05542664</v>
      </c>
      <c r="G80" s="18" t="n">
        <v>35.48068389</v>
      </c>
      <c r="H80" s="20" t="n">
        <v>3.05542014</v>
      </c>
      <c r="I80" s="18" t="s">
        <v>349</v>
      </c>
      <c r="J80" s="20" t="s">
        <v>349</v>
      </c>
      <c r="K80" s="18" t="n">
        <v>0.23608431</v>
      </c>
      <c r="L80" s="20" t="n">
        <v>0.21412569</v>
      </c>
      <c r="M80" s="18" t="n">
        <v>0</v>
      </c>
      <c r="N80" s="20" t="n">
        <v>0</v>
      </c>
      <c r="O80" s="18" t="n">
        <v>0</v>
      </c>
      <c r="P80" s="20" t="n">
        <v>0</v>
      </c>
      <c r="Q80" s="18" t="n">
        <v>0.09797326000000001</v>
      </c>
      <c r="R80" s="20" t="n">
        <v>0.07047148</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(2257.0/B44*100)</f>
        <v/>
      </c>
      <c r="D44" s="19" t="n">
        <v>434</v>
      </c>
      <c r="E44" s="18" t="n">
        <v>58.69035191</v>
      </c>
      <c r="F44" s="20" t="n">
        <v>2.94292668</v>
      </c>
      <c r="G44" s="18" t="n">
        <v>29.1742489</v>
      </c>
      <c r="H44" s="20" t="n">
        <v>2.33914855</v>
      </c>
      <c r="I44" s="18" t="s">
        <v>349</v>
      </c>
      <c r="J44" s="20" t="s">
        <v>349</v>
      </c>
      <c r="K44" s="18" t="n">
        <v>10.88044537</v>
      </c>
      <c r="L44" s="20" t="n">
        <v>1.83647127</v>
      </c>
      <c r="M44" s="18" t="n">
        <v>0</v>
      </c>
      <c r="N44" s="20" t="n">
        <v>0</v>
      </c>
      <c r="O44" s="18" t="n">
        <v>0.38684733</v>
      </c>
      <c r="P44" s="20" t="n">
        <v>0.27986133</v>
      </c>
      <c r="Q44" s="18" t="n">
        <v>0.86810649</v>
      </c>
      <c r="R44" s="20" t="n">
        <v>0.53636796</v>
      </c>
    </row>
    <row r="45" spans="1:18">
      <c r="A45" s="15" t="s">
        <v>387</v>
      </c>
      <c r="B45" s="17" t="n">
        <v>2670</v>
      </c>
      <c r="C45" s="18">
        <f>(2190.0/B45*100)</f>
        <v/>
      </c>
      <c r="D45" s="19" t="n">
        <v>480</v>
      </c>
      <c r="E45" s="18" t="n">
        <v>58.40589751</v>
      </c>
      <c r="F45" s="20" t="n">
        <v>2.78598959</v>
      </c>
      <c r="G45" s="18" t="n">
        <v>19.00733643</v>
      </c>
      <c r="H45" s="20" t="n">
        <v>1.94280975</v>
      </c>
      <c r="I45" s="18" t="s">
        <v>349</v>
      </c>
      <c r="J45" s="20" t="s">
        <v>349</v>
      </c>
      <c r="K45" s="18" t="n">
        <v>19.23115745</v>
      </c>
      <c r="L45" s="20" t="n">
        <v>2.60677613</v>
      </c>
      <c r="M45" s="18" t="n">
        <v>0.25361393</v>
      </c>
      <c r="N45" s="20" t="n">
        <v>0.22572176</v>
      </c>
      <c r="O45" s="18" t="n">
        <v>1.6732006</v>
      </c>
      <c r="P45" s="20" t="n">
        <v>0.65486007</v>
      </c>
      <c r="Q45" s="18" t="n">
        <v>1.42879408</v>
      </c>
      <c r="R45" s="20" t="n">
        <v>0.49328352</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(2768.0/B49*100)</f>
        <v/>
      </c>
      <c r="D49" s="19" t="n">
        <v>563</v>
      </c>
      <c r="E49" s="18" t="n">
        <v>56.6784877</v>
      </c>
      <c r="F49" s="20" t="n">
        <v>2.39344176</v>
      </c>
      <c r="G49" s="18" t="n">
        <v>36.79242814</v>
      </c>
      <c r="H49" s="20" t="n">
        <v>2.48099096</v>
      </c>
      <c r="I49" s="18" t="s">
        <v>349</v>
      </c>
      <c r="J49" s="20" t="s">
        <v>349</v>
      </c>
      <c r="K49" s="18" t="n">
        <v>6.24928166</v>
      </c>
      <c r="L49" s="20" t="n">
        <v>1.21796164</v>
      </c>
      <c r="M49" s="18" t="n">
        <v>0</v>
      </c>
      <c r="N49" s="20" t="n">
        <v>0</v>
      </c>
      <c r="O49" s="18" t="n">
        <v>0</v>
      </c>
      <c r="P49" s="20" t="n">
        <v>0</v>
      </c>
      <c r="Q49" s="18" t="n">
        <v>0.27980249</v>
      </c>
      <c r="R49" s="20" t="n">
        <v>0.23940887</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(2137.0/B55*100)</f>
        <v/>
      </c>
      <c r="D55" s="19" t="n">
        <v>420</v>
      </c>
      <c r="E55" s="18" t="n">
        <v>62.69974144</v>
      </c>
      <c r="F55" s="20" t="n">
        <v>2.23111995</v>
      </c>
      <c r="G55" s="18" t="n">
        <v>30.94156298</v>
      </c>
      <c r="H55" s="20" t="n">
        <v>2.11614055</v>
      </c>
      <c r="I55" s="18" t="s">
        <v>349</v>
      </c>
      <c r="J55" s="20" t="s">
        <v>349</v>
      </c>
      <c r="K55" s="18" t="n">
        <v>5.36112466</v>
      </c>
      <c r="L55" s="20" t="n">
        <v>1.32298672</v>
      </c>
      <c r="M55" s="18" t="n">
        <v>0</v>
      </c>
      <c r="N55" s="20" t="n">
        <v>0</v>
      </c>
      <c r="O55" s="18" t="n">
        <v>0.36165889</v>
      </c>
      <c r="P55" s="20" t="n">
        <v>0.25651416</v>
      </c>
      <c r="Q55" s="18" t="n">
        <v>0.63591203</v>
      </c>
      <c r="R55" s="20" t="n">
        <v>0.46199243</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(2769.0/B57*100)</f>
        <v/>
      </c>
      <c r="D57" s="19" t="n">
        <v>574</v>
      </c>
      <c r="E57" s="18" t="n">
        <v>68.06950716</v>
      </c>
      <c r="F57" s="20" t="n">
        <v>2.10399003</v>
      </c>
      <c r="G57" s="18" t="n">
        <v>25.91147363</v>
      </c>
      <c r="H57" s="20" t="n">
        <v>2.00660032</v>
      </c>
      <c r="I57" s="18" t="s">
        <v>349</v>
      </c>
      <c r="J57" s="20" t="s">
        <v>349</v>
      </c>
      <c r="K57" s="18" t="n">
        <v>4.61888941</v>
      </c>
      <c r="L57" s="20" t="n">
        <v>1.00992773</v>
      </c>
      <c r="M57" s="18" t="n">
        <v>0</v>
      </c>
      <c r="N57" s="20" t="n">
        <v>0</v>
      </c>
      <c r="O57" s="18" t="n">
        <v>0</v>
      </c>
      <c r="P57" s="20" t="n">
        <v>0</v>
      </c>
      <c r="Q57" s="18" t="n">
        <v>1.4001298</v>
      </c>
      <c r="R57" s="20" t="n">
        <v>0.5269348700000001</v>
      </c>
    </row>
    <row r="58" spans="1:18">
      <c r="A58" s="15" t="s">
        <v>400</v>
      </c>
      <c r="B58" s="17" t="n">
        <v>3737</v>
      </c>
      <c r="C58" s="18">
        <f>(3104.0/B58*100)</f>
        <v/>
      </c>
      <c r="D58" s="19" t="n">
        <v>633</v>
      </c>
      <c r="E58" s="18" t="n">
        <v>67.53934455</v>
      </c>
      <c r="F58" s="20" t="n">
        <v>2.06948955</v>
      </c>
      <c r="G58" s="18" t="n">
        <v>25.5689979</v>
      </c>
      <c r="H58" s="20" t="n">
        <v>2.32438331</v>
      </c>
      <c r="I58" s="18" t="s">
        <v>349</v>
      </c>
      <c r="J58" s="20" t="s">
        <v>349</v>
      </c>
      <c r="K58" s="18" t="n">
        <v>5.4859667</v>
      </c>
      <c r="L58" s="20" t="n">
        <v>1.04344167</v>
      </c>
      <c r="M58" s="18" t="n">
        <v>0</v>
      </c>
      <c r="N58" s="20" t="n">
        <v>0</v>
      </c>
      <c r="O58" s="18" t="n">
        <v>0.22681524</v>
      </c>
      <c r="P58" s="20" t="n">
        <v>0.22708806</v>
      </c>
      <c r="Q58" s="18" t="n">
        <v>1.1788756</v>
      </c>
      <c r="R58" s="20" t="n">
        <v>0.53837211</v>
      </c>
    </row>
    <row r="59" spans="1:18">
      <c r="A59" s="15" t="s">
        <v>401</v>
      </c>
      <c r="B59" s="17" t="n">
        <v>2278</v>
      </c>
      <c r="C59" s="18">
        <f>(1900.0/B59*100)</f>
        <v/>
      </c>
      <c r="D59" s="19" t="n">
        <v>378</v>
      </c>
      <c r="E59" s="18" t="n">
        <v>69.38921413</v>
      </c>
      <c r="F59" s="20" t="n">
        <v>2.86158698</v>
      </c>
      <c r="G59" s="18" t="n">
        <v>26.24855016</v>
      </c>
      <c r="H59" s="20" t="n">
        <v>2.65560399</v>
      </c>
      <c r="I59" s="18" t="s">
        <v>349</v>
      </c>
      <c r="J59" s="20" t="s">
        <v>349</v>
      </c>
      <c r="K59" s="18" t="n">
        <v>2.9207688</v>
      </c>
      <c r="L59" s="20" t="n">
        <v>0.93463887</v>
      </c>
      <c r="M59" s="18" t="n">
        <v>0</v>
      </c>
      <c r="N59" s="20" t="n">
        <v>0</v>
      </c>
      <c r="O59" s="18" t="n">
        <v>0</v>
      </c>
      <c r="P59" s="20" t="n">
        <v>0</v>
      </c>
      <c r="Q59" s="18" t="n">
        <v>1.44146691</v>
      </c>
      <c r="R59" s="20" t="n">
        <v>0.80416828</v>
      </c>
    </row>
    <row r="60" spans="1:18">
      <c r="A60" s="15" t="s">
        <v>402</v>
      </c>
      <c r="B60" s="17" t="n">
        <v>2451</v>
      </c>
      <c r="C60" s="18">
        <f>(2028.0/B60*100)</f>
        <v/>
      </c>
      <c r="D60" s="19" t="n">
        <v>423</v>
      </c>
      <c r="E60" s="18" t="n">
        <v>55.61732591</v>
      </c>
      <c r="F60" s="20" t="n">
        <v>2.68684563</v>
      </c>
      <c r="G60" s="18" t="n">
        <v>29.63878367</v>
      </c>
      <c r="H60" s="20" t="n">
        <v>2.34384342</v>
      </c>
      <c r="I60" s="18" t="s">
        <v>349</v>
      </c>
      <c r="J60" s="20" t="s">
        <v>349</v>
      </c>
      <c r="K60" s="18" t="n">
        <v>13.13355367</v>
      </c>
      <c r="L60" s="20" t="n">
        <v>1.86895415</v>
      </c>
      <c r="M60" s="18" t="n">
        <v>0</v>
      </c>
      <c r="N60" s="20" t="n">
        <v>0</v>
      </c>
      <c r="O60" s="18" t="n">
        <v>0.65095214</v>
      </c>
      <c r="P60" s="20" t="n">
        <v>0.48205429</v>
      </c>
      <c r="Q60" s="18" t="n">
        <v>0.95938461</v>
      </c>
      <c r="R60" s="20" t="n">
        <v>0.6049466999999999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(2093.0/B63*100)</f>
        <v/>
      </c>
      <c r="D63" s="19" t="n">
        <v>418</v>
      </c>
      <c r="E63" s="18" t="n">
        <v>60.61882617</v>
      </c>
      <c r="F63" s="20" t="n">
        <v>2.49557261</v>
      </c>
      <c r="G63" s="18" t="n">
        <v>30.96671923</v>
      </c>
      <c r="H63" s="20" t="n">
        <v>2.31664343</v>
      </c>
      <c r="I63" s="18" t="s">
        <v>349</v>
      </c>
      <c r="J63" s="20" t="s">
        <v>349</v>
      </c>
      <c r="K63" s="18" t="n">
        <v>5.90420151</v>
      </c>
      <c r="L63" s="20" t="n">
        <v>1.14591291</v>
      </c>
      <c r="M63" s="18" t="n">
        <v>0</v>
      </c>
      <c r="N63" s="20" t="n">
        <v>0</v>
      </c>
      <c r="O63" s="18" t="n">
        <v>0.5437907</v>
      </c>
      <c r="P63" s="20" t="n">
        <v>0.46265616</v>
      </c>
      <c r="Q63" s="18" t="n">
        <v>1.9664624</v>
      </c>
      <c r="R63" s="20" t="n">
        <v>0.68339777</v>
      </c>
    </row>
    <row r="64" spans="1:18">
      <c r="A64" s="15" t="s">
        <v>406</v>
      </c>
      <c r="B64" s="17" t="n">
        <v>1790</v>
      </c>
      <c r="C64" s="18">
        <f>(1487.0/B64*100)</f>
        <v/>
      </c>
      <c r="D64" s="19" t="n">
        <v>303</v>
      </c>
      <c r="E64" s="18" t="n">
        <v>55.22483253</v>
      </c>
      <c r="F64" s="20" t="n">
        <v>3.18234715</v>
      </c>
      <c r="G64" s="18" t="n">
        <v>39.06822548</v>
      </c>
      <c r="H64" s="20" t="n">
        <v>3.11465827</v>
      </c>
      <c r="I64" s="18" t="s">
        <v>349</v>
      </c>
      <c r="J64" s="20" t="s">
        <v>349</v>
      </c>
      <c r="K64" s="18" t="n">
        <v>5.706942</v>
      </c>
      <c r="L64" s="20" t="n">
        <v>1.26725449</v>
      </c>
      <c r="M64" s="18" t="n">
        <v>0</v>
      </c>
      <c r="N64" s="20" t="n">
        <v>0</v>
      </c>
      <c r="O64" s="18" t="n">
        <v>0</v>
      </c>
      <c r="P64" s="20" t="n">
        <v>0</v>
      </c>
      <c r="Q64" s="18" t="n">
        <v>0</v>
      </c>
      <c r="R64" s="20" t="n">
        <v>0</v>
      </c>
    </row>
    <row r="65" spans="1:18">
      <c r="A65" s="15" t="s">
        <v>407</v>
      </c>
      <c r="B65" s="17" t="n">
        <v>2634</v>
      </c>
      <c r="C65" s="18">
        <f>(2205.0/B65*100)</f>
        <v/>
      </c>
      <c r="D65" s="19" t="n">
        <v>429</v>
      </c>
      <c r="E65" s="18" t="n">
        <v>55.7290851</v>
      </c>
      <c r="F65" s="20" t="n">
        <v>2.54293541</v>
      </c>
      <c r="G65" s="18" t="n">
        <v>30.52842941</v>
      </c>
      <c r="H65" s="20" t="n">
        <v>2.30981943</v>
      </c>
      <c r="I65" s="18" t="s">
        <v>349</v>
      </c>
      <c r="J65" s="20" t="s">
        <v>349</v>
      </c>
      <c r="K65" s="18" t="n">
        <v>12.06716001</v>
      </c>
      <c r="L65" s="20" t="n">
        <v>1.78629122</v>
      </c>
      <c r="M65" s="18" t="n">
        <v>0.38751987</v>
      </c>
      <c r="N65" s="20" t="n">
        <v>0.27577357</v>
      </c>
      <c r="O65" s="18" t="n">
        <v>0</v>
      </c>
      <c r="P65" s="20" t="n">
        <v>0</v>
      </c>
      <c r="Q65" s="18" t="n">
        <v>1.2878056</v>
      </c>
      <c r="R65" s="20" t="n">
        <v>0.5998144399999999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(2059.0/B69*100)</f>
        <v/>
      </c>
      <c r="D69" s="19" t="n">
        <v>407</v>
      </c>
      <c r="E69" s="18" t="n">
        <v>63.21421417</v>
      </c>
      <c r="F69" s="20" t="n">
        <v>2.25851348</v>
      </c>
      <c r="G69" s="18" t="n">
        <v>36.54532637</v>
      </c>
      <c r="H69" s="20" t="n">
        <v>2.22106298</v>
      </c>
      <c r="I69" s="18" t="s">
        <v>349</v>
      </c>
      <c r="J69" s="20" t="s">
        <v>349</v>
      </c>
      <c r="K69" s="18" t="n">
        <v>0</v>
      </c>
      <c r="L69" s="20" t="n">
        <v>0</v>
      </c>
      <c r="M69" s="18" t="n">
        <v>0</v>
      </c>
      <c r="N69" s="20" t="n">
        <v>0</v>
      </c>
      <c r="O69" s="18" t="n">
        <v>0</v>
      </c>
      <c r="P69" s="20" t="n">
        <v>0</v>
      </c>
      <c r="Q69" s="18" t="n">
        <v>0.24045946</v>
      </c>
      <c r="R69" s="20" t="n">
        <v>0.24142882</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(2041.0/B74*100)</f>
        <v/>
      </c>
      <c r="D74" s="19" t="n">
        <v>412</v>
      </c>
      <c r="E74" s="18" t="n">
        <v>57.12579392</v>
      </c>
      <c r="F74" s="20" t="n">
        <v>2.24056126</v>
      </c>
      <c r="G74" s="18" t="n">
        <v>33.88057208</v>
      </c>
      <c r="H74" s="20" t="n">
        <v>2.43259597</v>
      </c>
      <c r="I74" s="18" t="s">
        <v>349</v>
      </c>
      <c r="J74" s="20" t="s">
        <v>349</v>
      </c>
      <c r="K74" s="18" t="n">
        <v>8.53198285</v>
      </c>
      <c r="L74" s="20" t="n">
        <v>1.330513</v>
      </c>
      <c r="M74" s="18" t="n">
        <v>0</v>
      </c>
      <c r="N74" s="20" t="n">
        <v>0</v>
      </c>
      <c r="O74" s="18" t="n">
        <v>0</v>
      </c>
      <c r="P74" s="20" t="n">
        <v>0</v>
      </c>
      <c r="Q74" s="18" t="n">
        <v>0.46165116</v>
      </c>
      <c r="R74" s="20" t="n">
        <v>0.35291846</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(2533.0/B78*100)</f>
        <v/>
      </c>
      <c r="D78" s="19" t="n">
        <v>507</v>
      </c>
      <c r="E78" s="18" t="n">
        <v>36.69651676</v>
      </c>
      <c r="F78" s="20" t="n">
        <v>2.13791288</v>
      </c>
      <c r="G78" s="18" t="n">
        <v>63.30348324</v>
      </c>
      <c r="H78" s="20" t="n">
        <v>2.13791288</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(727.0/B79*100)</f>
        <v/>
      </c>
      <c r="D79" s="19" t="n">
        <v>143</v>
      </c>
      <c r="E79" s="18" t="n">
        <v>45.96719986</v>
      </c>
      <c r="F79" s="20" t="n">
        <v>3.71593544</v>
      </c>
      <c r="G79" s="18" t="n">
        <v>41.46002498</v>
      </c>
      <c r="H79" s="20" t="n">
        <v>2.96304153</v>
      </c>
      <c r="I79" s="18" t="s">
        <v>349</v>
      </c>
      <c r="J79" s="20" t="s">
        <v>349</v>
      </c>
      <c r="K79" s="18" t="n">
        <v>11.90553411</v>
      </c>
      <c r="L79" s="20" t="n">
        <v>2.5196226</v>
      </c>
      <c r="M79" s="18" t="n">
        <v>0</v>
      </c>
      <c r="N79" s="20" t="n">
        <v>0</v>
      </c>
      <c r="O79" s="18" t="n">
        <v>0</v>
      </c>
      <c r="P79" s="20" t="n">
        <v>0</v>
      </c>
      <c r="Q79" s="18" t="n">
        <v>0.66724105</v>
      </c>
      <c r="R79" s="20" t="n">
        <v>0.73580236</v>
      </c>
    </row>
    <row r="80" spans="1:18">
      <c r="A80" s="15" t="s">
        <v>422</v>
      </c>
      <c r="B80" s="17" t="n">
        <v>4043</v>
      </c>
      <c r="C80" s="18">
        <f>(3371.0/B80*100)</f>
        <v/>
      </c>
      <c r="D80" s="19" t="n">
        <v>672</v>
      </c>
      <c r="E80" s="18" t="n">
        <v>44.93047332</v>
      </c>
      <c r="F80" s="20" t="n">
        <v>2.68222551</v>
      </c>
      <c r="G80" s="18" t="n">
        <v>54.67538346</v>
      </c>
      <c r="H80" s="20" t="n">
        <v>2.66492635</v>
      </c>
      <c r="I80" s="18" t="s">
        <v>349</v>
      </c>
      <c r="J80" s="20" t="s">
        <v>349</v>
      </c>
      <c r="K80" s="18" t="n">
        <v>0.39414322</v>
      </c>
      <c r="L80" s="20" t="n">
        <v>0.26682716</v>
      </c>
      <c r="M80" s="18" t="n">
        <v>0</v>
      </c>
      <c r="N80" s="20" t="n">
        <v>0</v>
      </c>
      <c r="O80" s="18" t="n">
        <v>0</v>
      </c>
      <c r="P80" s="20" t="n">
        <v>0</v>
      </c>
      <c r="Q80" s="18" t="n">
        <v>0</v>
      </c>
      <c r="R80" s="20" t="n">
        <v>0</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(2257.0/B44*100)</f>
        <v/>
      </c>
      <c r="D44" s="19" t="n">
        <v>434</v>
      </c>
      <c r="E44" s="18" t="n">
        <v>55.29039665</v>
      </c>
      <c r="F44" s="20" t="n">
        <v>2.74150287</v>
      </c>
      <c r="G44" s="18" t="n">
        <v>24.47732451</v>
      </c>
      <c r="H44" s="20" t="n">
        <v>2.60816623</v>
      </c>
      <c r="I44" s="18" t="s">
        <v>349</v>
      </c>
      <c r="J44" s="20" t="s">
        <v>349</v>
      </c>
      <c r="K44" s="18" t="n">
        <v>20.01441703</v>
      </c>
      <c r="L44" s="20" t="n">
        <v>2.4300939</v>
      </c>
      <c r="M44" s="18" t="n">
        <v>0</v>
      </c>
      <c r="N44" s="20" t="n">
        <v>0</v>
      </c>
      <c r="O44" s="18" t="n">
        <v>0.21786181</v>
      </c>
      <c r="P44" s="20" t="n">
        <v>0.22241546</v>
      </c>
      <c r="Q44" s="18" t="n">
        <v>0</v>
      </c>
      <c r="R44" s="20" t="n">
        <v>0</v>
      </c>
    </row>
    <row r="45" spans="1:18">
      <c r="A45" s="15" t="s">
        <v>387</v>
      </c>
      <c r="B45" s="17" t="n">
        <v>2670</v>
      </c>
      <c r="C45" s="18">
        <f>(2190.0/B45*100)</f>
        <v/>
      </c>
      <c r="D45" s="19" t="n">
        <v>480</v>
      </c>
      <c r="E45" s="18" t="n">
        <v>62.26926246</v>
      </c>
      <c r="F45" s="20" t="n">
        <v>2.76183672</v>
      </c>
      <c r="G45" s="18" t="n">
        <v>13.95810936</v>
      </c>
      <c r="H45" s="20" t="n">
        <v>1.61263051</v>
      </c>
      <c r="I45" s="18" t="s">
        <v>349</v>
      </c>
      <c r="J45" s="20" t="s">
        <v>349</v>
      </c>
      <c r="K45" s="18" t="n">
        <v>21.52355623</v>
      </c>
      <c r="L45" s="20" t="n">
        <v>2.59587505</v>
      </c>
      <c r="M45" s="18" t="n">
        <v>0.90411283</v>
      </c>
      <c r="N45" s="20" t="n">
        <v>0.44025252</v>
      </c>
      <c r="O45" s="18" t="n">
        <v>1.34495912</v>
      </c>
      <c r="P45" s="20" t="n">
        <v>0.57472449</v>
      </c>
      <c r="Q45" s="18" t="n">
        <v>0</v>
      </c>
      <c r="R45" s="20" t="n">
        <v>0</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(2768.0/B49*100)</f>
        <v/>
      </c>
      <c r="D49" s="19" t="n">
        <v>563</v>
      </c>
      <c r="E49" s="18" t="n">
        <v>59.46385852</v>
      </c>
      <c r="F49" s="20" t="n">
        <v>2.13292398</v>
      </c>
      <c r="G49" s="18" t="n">
        <v>30.05384908</v>
      </c>
      <c r="H49" s="20" t="n">
        <v>2.18336267</v>
      </c>
      <c r="I49" s="18" t="s">
        <v>349</v>
      </c>
      <c r="J49" s="20" t="s">
        <v>349</v>
      </c>
      <c r="K49" s="18" t="n">
        <v>9.976139379999999</v>
      </c>
      <c r="L49" s="20" t="n">
        <v>1.39932881</v>
      </c>
      <c r="M49" s="18" t="n">
        <v>0</v>
      </c>
      <c r="N49" s="20" t="n">
        <v>0</v>
      </c>
      <c r="O49" s="18" t="n">
        <v>0.50615301</v>
      </c>
      <c r="P49" s="20" t="n">
        <v>0.3618009</v>
      </c>
      <c r="Q49" s="18" t="n">
        <v>0</v>
      </c>
      <c r="R49" s="20" t="n">
        <v>0</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(2137.0/B55*100)</f>
        <v/>
      </c>
      <c r="D55" s="19" t="n">
        <v>420</v>
      </c>
      <c r="E55" s="18" t="n">
        <v>55.74595579</v>
      </c>
      <c r="F55" s="20" t="n">
        <v>2.68767919</v>
      </c>
      <c r="G55" s="18" t="n">
        <v>32.10410891</v>
      </c>
      <c r="H55" s="20" t="n">
        <v>2.516255</v>
      </c>
      <c r="I55" s="18" t="s">
        <v>349</v>
      </c>
      <c r="J55" s="20" t="s">
        <v>349</v>
      </c>
      <c r="K55" s="18" t="n">
        <v>11.52547446</v>
      </c>
      <c r="L55" s="20" t="n">
        <v>1.85026532</v>
      </c>
      <c r="M55" s="18" t="n">
        <v>0</v>
      </c>
      <c r="N55" s="20" t="n">
        <v>0</v>
      </c>
      <c r="O55" s="18" t="n">
        <v>0.62446084</v>
      </c>
      <c r="P55" s="20" t="n">
        <v>0.36168969</v>
      </c>
      <c r="Q55" s="18" t="n">
        <v>0</v>
      </c>
      <c r="R55" s="20" t="n">
        <v>0</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(2769.0/B57*100)</f>
        <v/>
      </c>
      <c r="D57" s="19" t="n">
        <v>574</v>
      </c>
      <c r="E57" s="18" t="n">
        <v>70.22596502</v>
      </c>
      <c r="F57" s="20" t="n">
        <v>1.99050432</v>
      </c>
      <c r="G57" s="18" t="n">
        <v>22.65533975</v>
      </c>
      <c r="H57" s="20" t="n">
        <v>1.89959822</v>
      </c>
      <c r="I57" s="18" t="s">
        <v>349</v>
      </c>
      <c r="J57" s="20" t="s">
        <v>349</v>
      </c>
      <c r="K57" s="18" t="n">
        <v>7.11869523</v>
      </c>
      <c r="L57" s="20" t="n">
        <v>1.25356029</v>
      </c>
      <c r="M57" s="18" t="n">
        <v>0</v>
      </c>
      <c r="N57" s="20" t="n">
        <v>0</v>
      </c>
      <c r="O57" s="18" t="n">
        <v>0</v>
      </c>
      <c r="P57" s="20" t="n">
        <v>0</v>
      </c>
      <c r="Q57" s="18" t="n">
        <v>0</v>
      </c>
      <c r="R57" s="20" t="n">
        <v>0</v>
      </c>
    </row>
    <row r="58" spans="1:18">
      <c r="A58" s="15" t="s">
        <v>400</v>
      </c>
      <c r="B58" s="17" t="n">
        <v>3737</v>
      </c>
      <c r="C58" s="18">
        <f>(3104.0/B58*100)</f>
        <v/>
      </c>
      <c r="D58" s="19" t="n">
        <v>633</v>
      </c>
      <c r="E58" s="18" t="n">
        <v>69.81094668</v>
      </c>
      <c r="F58" s="20" t="n">
        <v>2.03009648</v>
      </c>
      <c r="G58" s="18" t="n">
        <v>23.19586537</v>
      </c>
      <c r="H58" s="20" t="n">
        <v>1.92159282</v>
      </c>
      <c r="I58" s="18" t="s">
        <v>349</v>
      </c>
      <c r="J58" s="20" t="s">
        <v>349</v>
      </c>
      <c r="K58" s="18" t="n">
        <v>6.45485212</v>
      </c>
      <c r="L58" s="20" t="n">
        <v>1.19607919</v>
      </c>
      <c r="M58" s="18" t="n">
        <v>0</v>
      </c>
      <c r="N58" s="20" t="n">
        <v>0</v>
      </c>
      <c r="O58" s="18" t="n">
        <v>0.53833583</v>
      </c>
      <c r="P58" s="20" t="n">
        <v>0.34062948</v>
      </c>
      <c r="Q58" s="18" t="n">
        <v>0</v>
      </c>
      <c r="R58" s="20" t="n">
        <v>0</v>
      </c>
    </row>
    <row r="59" spans="1:18">
      <c r="A59" s="15" t="s">
        <v>401</v>
      </c>
      <c r="B59" s="17" t="n">
        <v>2278</v>
      </c>
      <c r="C59" s="18">
        <f>(1900.0/B59*100)</f>
        <v/>
      </c>
      <c r="D59" s="19" t="n">
        <v>378</v>
      </c>
      <c r="E59" s="18" t="n">
        <v>73.69959468</v>
      </c>
      <c r="F59" s="20" t="n">
        <v>2.70844612</v>
      </c>
      <c r="G59" s="18" t="n">
        <v>22.51407937</v>
      </c>
      <c r="H59" s="20" t="n">
        <v>2.45913244</v>
      </c>
      <c r="I59" s="18" t="s">
        <v>349</v>
      </c>
      <c r="J59" s="20" t="s">
        <v>349</v>
      </c>
      <c r="K59" s="18" t="n">
        <v>3.62405213</v>
      </c>
      <c r="L59" s="20" t="n">
        <v>0.9931524900000001</v>
      </c>
      <c r="M59" s="18" t="n">
        <v>0</v>
      </c>
      <c r="N59" s="20" t="n">
        <v>0</v>
      </c>
      <c r="O59" s="18" t="n">
        <v>0.16227382</v>
      </c>
      <c r="P59" s="20" t="n">
        <v>0.11665149</v>
      </c>
      <c r="Q59" s="18" t="n">
        <v>0</v>
      </c>
      <c r="R59" s="20" t="n">
        <v>0</v>
      </c>
    </row>
    <row r="60" spans="1:18">
      <c r="A60" s="15" t="s">
        <v>402</v>
      </c>
      <c r="B60" s="17" t="n">
        <v>2451</v>
      </c>
      <c r="C60" s="18">
        <f>(2028.0/B60*100)</f>
        <v/>
      </c>
      <c r="D60" s="19" t="n">
        <v>423</v>
      </c>
      <c r="E60" s="18" t="n">
        <v>61.66119952</v>
      </c>
      <c r="F60" s="20" t="n">
        <v>2.64231748</v>
      </c>
      <c r="G60" s="18" t="n">
        <v>20.74998874</v>
      </c>
      <c r="H60" s="20" t="n">
        <v>1.96183339</v>
      </c>
      <c r="I60" s="18" t="s">
        <v>349</v>
      </c>
      <c r="J60" s="20" t="s">
        <v>349</v>
      </c>
      <c r="K60" s="18" t="n">
        <v>16.45990149</v>
      </c>
      <c r="L60" s="20" t="n">
        <v>2.15967957</v>
      </c>
      <c r="M60" s="18" t="n">
        <v>0</v>
      </c>
      <c r="N60" s="20" t="n">
        <v>0</v>
      </c>
      <c r="O60" s="18" t="n">
        <v>1.12891024</v>
      </c>
      <c r="P60" s="20" t="n">
        <v>0.47862683</v>
      </c>
      <c r="Q60" s="18" t="n">
        <v>0</v>
      </c>
      <c r="R60" s="20" t="n">
        <v>0</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(2093.0/B63*100)</f>
        <v/>
      </c>
      <c r="D63" s="19" t="n">
        <v>418</v>
      </c>
      <c r="E63" s="18" t="n">
        <v>62.68636396</v>
      </c>
      <c r="F63" s="20" t="n">
        <v>2.80995128</v>
      </c>
      <c r="G63" s="18" t="n">
        <v>27.80127251</v>
      </c>
      <c r="H63" s="20" t="n">
        <v>2.51011613</v>
      </c>
      <c r="I63" s="18" t="s">
        <v>349</v>
      </c>
      <c r="J63" s="20" t="s">
        <v>349</v>
      </c>
      <c r="K63" s="18" t="n">
        <v>9.51236353</v>
      </c>
      <c r="L63" s="20" t="n">
        <v>1.44712895</v>
      </c>
      <c r="M63" s="18" t="n">
        <v>0</v>
      </c>
      <c r="N63" s="20" t="n">
        <v>0</v>
      </c>
      <c r="O63" s="18" t="n">
        <v>0</v>
      </c>
      <c r="P63" s="20" t="n">
        <v>0</v>
      </c>
      <c r="Q63" s="18" t="n">
        <v>0</v>
      </c>
      <c r="R63" s="20" t="n">
        <v>0</v>
      </c>
    </row>
    <row r="64" spans="1:18">
      <c r="A64" s="15" t="s">
        <v>406</v>
      </c>
      <c r="B64" s="17" t="n">
        <v>1790</v>
      </c>
      <c r="C64" s="18">
        <f>(1487.0/B64*100)</f>
        <v/>
      </c>
      <c r="D64" s="19" t="n">
        <v>303</v>
      </c>
      <c r="E64" s="18" t="n">
        <v>50.099789</v>
      </c>
      <c r="F64" s="20" t="n">
        <v>2.83832764</v>
      </c>
      <c r="G64" s="18" t="n">
        <v>42.26486161</v>
      </c>
      <c r="H64" s="20" t="n">
        <v>2.78966121</v>
      </c>
      <c r="I64" s="18" t="s">
        <v>349</v>
      </c>
      <c r="J64" s="20" t="s">
        <v>349</v>
      </c>
      <c r="K64" s="18" t="n">
        <v>7.63534939</v>
      </c>
      <c r="L64" s="20" t="n">
        <v>1.48764976</v>
      </c>
      <c r="M64" s="18" t="n">
        <v>0</v>
      </c>
      <c r="N64" s="20" t="n">
        <v>0</v>
      </c>
      <c r="O64" s="18" t="n">
        <v>0</v>
      </c>
      <c r="P64" s="20" t="n">
        <v>0</v>
      </c>
      <c r="Q64" s="18" t="n">
        <v>0</v>
      </c>
      <c r="R64" s="20" t="n">
        <v>0</v>
      </c>
    </row>
    <row r="65" spans="1:18">
      <c r="A65" s="15" t="s">
        <v>407</v>
      </c>
      <c r="B65" s="17" t="n">
        <v>2634</v>
      </c>
      <c r="C65" s="18">
        <f>(2205.0/B65*100)</f>
        <v/>
      </c>
      <c r="D65" s="19" t="n">
        <v>429</v>
      </c>
      <c r="E65" s="18" t="n">
        <v>55.55111776</v>
      </c>
      <c r="F65" s="20" t="n">
        <v>2.55762124</v>
      </c>
      <c r="G65" s="18" t="n">
        <v>28.08823281</v>
      </c>
      <c r="H65" s="20" t="n">
        <v>2.36017737</v>
      </c>
      <c r="I65" s="18" t="s">
        <v>349</v>
      </c>
      <c r="J65" s="20" t="s">
        <v>349</v>
      </c>
      <c r="K65" s="18" t="n">
        <v>16.1668895</v>
      </c>
      <c r="L65" s="20" t="n">
        <v>1.97462217</v>
      </c>
      <c r="M65" s="18" t="n">
        <v>0.19375993</v>
      </c>
      <c r="N65" s="20" t="n">
        <v>0.19465348</v>
      </c>
      <c r="O65" s="18" t="n">
        <v>0</v>
      </c>
      <c r="P65" s="20" t="n">
        <v>0</v>
      </c>
      <c r="Q65" s="18" t="n">
        <v>0</v>
      </c>
      <c r="R65" s="20" t="n">
        <v>0</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(2059.0/B69*100)</f>
        <v/>
      </c>
      <c r="D69" s="19" t="n">
        <v>407</v>
      </c>
      <c r="E69" s="18" t="n">
        <v>71.31261765000001</v>
      </c>
      <c r="F69" s="20" t="n">
        <v>2.12205764</v>
      </c>
      <c r="G69" s="18" t="n">
        <v>28.24439065</v>
      </c>
      <c r="H69" s="20" t="n">
        <v>2.12049162</v>
      </c>
      <c r="I69" s="18" t="s">
        <v>349</v>
      </c>
      <c r="J69" s="20" t="s">
        <v>349</v>
      </c>
      <c r="K69" s="18" t="n">
        <v>0.44299171</v>
      </c>
      <c r="L69" s="20" t="n">
        <v>0.30974116</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(2041.0/B74*100)</f>
        <v/>
      </c>
      <c r="D74" s="19" t="n">
        <v>412</v>
      </c>
      <c r="E74" s="18" t="n">
        <v>56.23974059</v>
      </c>
      <c r="F74" s="20" t="n">
        <v>2.48530741</v>
      </c>
      <c r="G74" s="18" t="n">
        <v>32.14799122</v>
      </c>
      <c r="H74" s="20" t="n">
        <v>2.54123682</v>
      </c>
      <c r="I74" s="18" t="s">
        <v>349</v>
      </c>
      <c r="J74" s="20" t="s">
        <v>349</v>
      </c>
      <c r="K74" s="18" t="n">
        <v>11.61226819</v>
      </c>
      <c r="L74" s="20" t="n">
        <v>1.57911497</v>
      </c>
      <c r="M74" s="18" t="n">
        <v>0</v>
      </c>
      <c r="N74" s="20" t="n">
        <v>0</v>
      </c>
      <c r="O74" s="18" t="n">
        <v>0</v>
      </c>
      <c r="P74" s="20" t="n">
        <v>0</v>
      </c>
      <c r="Q74" s="18" t="n">
        <v>0</v>
      </c>
      <c r="R74" s="20" t="n">
        <v>0</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(2533.0/B78*100)</f>
        <v/>
      </c>
      <c r="D78" s="19" t="n">
        <v>507</v>
      </c>
      <c r="E78" s="18" t="n">
        <v>22.91811716</v>
      </c>
      <c r="F78" s="20" t="n">
        <v>2.02948556</v>
      </c>
      <c r="G78" s="18" t="n">
        <v>77.08188284000001</v>
      </c>
      <c r="H78" s="20" t="n">
        <v>2.02948556</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(727.0/B79*100)</f>
        <v/>
      </c>
      <c r="D79" s="19" t="n">
        <v>143</v>
      </c>
      <c r="E79" s="18" t="n">
        <v>41.0375028</v>
      </c>
      <c r="F79" s="20" t="n">
        <v>4.11792757</v>
      </c>
      <c r="G79" s="18" t="n">
        <v>38.66320581</v>
      </c>
      <c r="H79" s="20" t="n">
        <v>4.24734809</v>
      </c>
      <c r="I79" s="18" t="s">
        <v>349</v>
      </c>
      <c r="J79" s="20" t="s">
        <v>349</v>
      </c>
      <c r="K79" s="18" t="n">
        <v>20.29929139</v>
      </c>
      <c r="L79" s="20" t="n">
        <v>3.16364029</v>
      </c>
      <c r="M79" s="18" t="n">
        <v>0</v>
      </c>
      <c r="N79" s="20" t="n">
        <v>0</v>
      </c>
      <c r="O79" s="18" t="n">
        <v>0</v>
      </c>
      <c r="P79" s="20" t="n">
        <v>0</v>
      </c>
      <c r="Q79" s="18" t="n">
        <v>0</v>
      </c>
      <c r="R79" s="20" t="n">
        <v>0</v>
      </c>
    </row>
    <row r="80" spans="1:18">
      <c r="A80" s="15" t="s">
        <v>422</v>
      </c>
      <c r="B80" s="17" t="n">
        <v>4043</v>
      </c>
      <c r="C80" s="18">
        <f>(3371.0/B80*100)</f>
        <v/>
      </c>
      <c r="D80" s="19" t="n">
        <v>672</v>
      </c>
      <c r="E80" s="18" t="n">
        <v>46.16234079</v>
      </c>
      <c r="F80" s="20" t="n">
        <v>3.27221104</v>
      </c>
      <c r="G80" s="18" t="n">
        <v>53.44351599</v>
      </c>
      <c r="H80" s="20" t="n">
        <v>3.24347842</v>
      </c>
      <c r="I80" s="18" t="s">
        <v>349</v>
      </c>
      <c r="J80" s="20" t="s">
        <v>349</v>
      </c>
      <c r="K80" s="18" t="n">
        <v>0.39414322</v>
      </c>
      <c r="L80" s="20" t="n">
        <v>0.26682716</v>
      </c>
      <c r="M80" s="18" t="n">
        <v>0</v>
      </c>
      <c r="N80" s="20" t="n">
        <v>0</v>
      </c>
      <c r="O80" s="18" t="n">
        <v>0</v>
      </c>
      <c r="P80" s="20" t="n">
        <v>0</v>
      </c>
      <c r="Q80" s="18" t="n">
        <v>0</v>
      </c>
      <c r="R80" s="20" t="n">
        <v>0</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(2238.0/B44*100)</f>
        <v/>
      </c>
      <c r="D44" s="19" t="n">
        <v>453</v>
      </c>
      <c r="E44" s="18" t="n">
        <v>55.46814579</v>
      </c>
      <c r="F44" s="20" t="n">
        <v>3.01856999</v>
      </c>
      <c r="G44" s="18" t="n">
        <v>35.80165595</v>
      </c>
      <c r="H44" s="20" t="n">
        <v>3.04030633</v>
      </c>
      <c r="I44" s="18" t="s">
        <v>349</v>
      </c>
      <c r="J44" s="20" t="s">
        <v>349</v>
      </c>
      <c r="K44" s="18" t="n">
        <v>1.12135162</v>
      </c>
      <c r="L44" s="20" t="n">
        <v>0.55078765</v>
      </c>
      <c r="M44" s="18" t="n">
        <v>0</v>
      </c>
      <c r="N44" s="20" t="n">
        <v>0</v>
      </c>
      <c r="O44" s="18" t="n">
        <v>0.92376233</v>
      </c>
      <c r="P44" s="20" t="n">
        <v>0.51436618</v>
      </c>
      <c r="Q44" s="18" t="n">
        <v>6.68508431</v>
      </c>
      <c r="R44" s="20" t="n">
        <v>1.44653401</v>
      </c>
    </row>
    <row r="45" spans="1:18">
      <c r="A45" s="15" t="s">
        <v>387</v>
      </c>
      <c r="B45" s="17" t="n">
        <v>2670</v>
      </c>
      <c r="C45" s="18">
        <f>(2216.0/B45*100)</f>
        <v/>
      </c>
      <c r="D45" s="19" t="n">
        <v>454</v>
      </c>
      <c r="E45" s="18" t="n">
        <v>57.77917812</v>
      </c>
      <c r="F45" s="20" t="n">
        <v>2.67877645</v>
      </c>
      <c r="G45" s="18" t="n">
        <v>15.90835481</v>
      </c>
      <c r="H45" s="20" t="n">
        <v>1.84884431</v>
      </c>
      <c r="I45" s="18" t="s">
        <v>349</v>
      </c>
      <c r="J45" s="20" t="s">
        <v>349</v>
      </c>
      <c r="K45" s="18" t="n">
        <v>2.99413331</v>
      </c>
      <c r="L45" s="20" t="n">
        <v>0.79364835</v>
      </c>
      <c r="M45" s="18" t="n">
        <v>0</v>
      </c>
      <c r="N45" s="20" t="n">
        <v>0</v>
      </c>
      <c r="O45" s="18" t="n">
        <v>6.73676699</v>
      </c>
      <c r="P45" s="20" t="n">
        <v>1.08904385</v>
      </c>
      <c r="Q45" s="18" t="n">
        <v>16.58156677</v>
      </c>
      <c r="R45" s="20" t="n">
        <v>2.00537833</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(2778.0/B49*100)</f>
        <v/>
      </c>
      <c r="D49" s="19" t="n">
        <v>553</v>
      </c>
      <c r="E49" s="18" t="n">
        <v>47.17128944</v>
      </c>
      <c r="F49" s="20" t="n">
        <v>2.44003243</v>
      </c>
      <c r="G49" s="18" t="n">
        <v>45.65708879</v>
      </c>
      <c r="H49" s="20" t="n">
        <v>2.34470176</v>
      </c>
      <c r="I49" s="18" t="s">
        <v>349</v>
      </c>
      <c r="J49" s="20" t="s">
        <v>349</v>
      </c>
      <c r="K49" s="18" t="n">
        <v>1.7033673</v>
      </c>
      <c r="L49" s="20" t="n">
        <v>0.57488086</v>
      </c>
      <c r="M49" s="18" t="n">
        <v>0</v>
      </c>
      <c r="N49" s="20" t="n">
        <v>0</v>
      </c>
      <c r="O49" s="18" t="n">
        <v>1.6097921</v>
      </c>
      <c r="P49" s="20" t="n">
        <v>0.58498764</v>
      </c>
      <c r="Q49" s="18" t="n">
        <v>3.85846237</v>
      </c>
      <c r="R49" s="20" t="n">
        <v>0.89902972</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(2100.0/B55*100)</f>
        <v/>
      </c>
      <c r="D55" s="19" t="n">
        <v>457</v>
      </c>
      <c r="E55" s="18" t="n">
        <v>46.44688692</v>
      </c>
      <c r="F55" s="20" t="n">
        <v>2.43291955</v>
      </c>
      <c r="G55" s="18" t="n">
        <v>42.57319711</v>
      </c>
      <c r="H55" s="20" t="n">
        <v>2.52438312</v>
      </c>
      <c r="I55" s="18" t="s">
        <v>349</v>
      </c>
      <c r="J55" s="20" t="s">
        <v>349</v>
      </c>
      <c r="K55" s="18" t="n">
        <v>1.39963526</v>
      </c>
      <c r="L55" s="20" t="n">
        <v>0.41612918</v>
      </c>
      <c r="M55" s="18" t="n">
        <v>0</v>
      </c>
      <c r="N55" s="20" t="n">
        <v>0</v>
      </c>
      <c r="O55" s="18" t="n">
        <v>0.19134475</v>
      </c>
      <c r="P55" s="20" t="n">
        <v>0.18769702</v>
      </c>
      <c r="Q55" s="18" t="n">
        <v>9.38893596</v>
      </c>
      <c r="R55" s="20" t="n">
        <v>1.29868579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(2786.0/B57*100)</f>
        <v/>
      </c>
      <c r="D57" s="19" t="n">
        <v>557</v>
      </c>
      <c r="E57" s="18" t="n">
        <v>65.39784381</v>
      </c>
      <c r="F57" s="20" t="n">
        <v>1.69589125</v>
      </c>
      <c r="G57" s="18" t="n">
        <v>30.0631726</v>
      </c>
      <c r="H57" s="20" t="n">
        <v>1.94156311</v>
      </c>
      <c r="I57" s="18" t="s">
        <v>349</v>
      </c>
      <c r="J57" s="20" t="s">
        <v>349</v>
      </c>
      <c r="K57" s="18" t="n">
        <v>0.49955768</v>
      </c>
      <c r="L57" s="20" t="n">
        <v>0.30327804</v>
      </c>
      <c r="M57" s="18" t="n">
        <v>0</v>
      </c>
      <c r="N57" s="20" t="n">
        <v>0</v>
      </c>
      <c r="O57" s="18" t="n">
        <v>0.19102883</v>
      </c>
      <c r="P57" s="20" t="n">
        <v>0.1911857</v>
      </c>
      <c r="Q57" s="18" t="n">
        <v>3.84839708</v>
      </c>
      <c r="R57" s="20" t="n">
        <v>0.98509931</v>
      </c>
    </row>
    <row r="58" spans="1:18">
      <c r="A58" s="15" t="s">
        <v>400</v>
      </c>
      <c r="B58" s="17" t="n">
        <v>3737</v>
      </c>
      <c r="C58" s="18">
        <f>(3119.0/B58*100)</f>
        <v/>
      </c>
      <c r="D58" s="19" t="n">
        <v>618</v>
      </c>
      <c r="E58" s="18" t="n">
        <v>53.96342172</v>
      </c>
      <c r="F58" s="20" t="n">
        <v>2.16289197</v>
      </c>
      <c r="G58" s="18" t="n">
        <v>41.8558339</v>
      </c>
      <c r="H58" s="20" t="n">
        <v>2.28602854</v>
      </c>
      <c r="I58" s="18" t="s">
        <v>349</v>
      </c>
      <c r="J58" s="20" t="s">
        <v>349</v>
      </c>
      <c r="K58" s="18" t="n">
        <v>0.80768048</v>
      </c>
      <c r="L58" s="20" t="n">
        <v>0.38128725</v>
      </c>
      <c r="M58" s="18" t="n">
        <v>0</v>
      </c>
      <c r="N58" s="20" t="n">
        <v>0</v>
      </c>
      <c r="O58" s="18" t="n">
        <v>0.60198779</v>
      </c>
      <c r="P58" s="20" t="n">
        <v>0.36470037</v>
      </c>
      <c r="Q58" s="18" t="n">
        <v>2.77107611</v>
      </c>
      <c r="R58" s="20" t="n">
        <v>0.76280295</v>
      </c>
    </row>
    <row r="59" spans="1:18">
      <c r="A59" s="15" t="s">
        <v>401</v>
      </c>
      <c r="B59" s="17" t="n">
        <v>2278</v>
      </c>
      <c r="C59" s="18">
        <f>(1902.0/B59*100)</f>
        <v/>
      </c>
      <c r="D59" s="19" t="n">
        <v>376</v>
      </c>
      <c r="E59" s="18" t="n">
        <v>56.72681658</v>
      </c>
      <c r="F59" s="20" t="n">
        <v>3.15122145</v>
      </c>
      <c r="G59" s="18" t="n">
        <v>27.4110476</v>
      </c>
      <c r="H59" s="20" t="n">
        <v>3.14223465</v>
      </c>
      <c r="I59" s="18" t="s">
        <v>349</v>
      </c>
      <c r="J59" s="20" t="s">
        <v>349</v>
      </c>
      <c r="K59" s="18" t="n">
        <v>0.28575772</v>
      </c>
      <c r="L59" s="20" t="n">
        <v>0.21679737</v>
      </c>
      <c r="M59" s="18" t="n">
        <v>0</v>
      </c>
      <c r="N59" s="20" t="n">
        <v>0</v>
      </c>
      <c r="O59" s="18" t="n">
        <v>4.2215448</v>
      </c>
      <c r="P59" s="20" t="n">
        <v>1.57873641</v>
      </c>
      <c r="Q59" s="18" t="n">
        <v>11.35483329</v>
      </c>
      <c r="R59" s="20" t="n">
        <v>1.90259744</v>
      </c>
    </row>
    <row r="60" spans="1:18">
      <c r="A60" s="15" t="s">
        <v>402</v>
      </c>
      <c r="B60" s="17" t="n">
        <v>2451</v>
      </c>
      <c r="C60" s="18">
        <f>(2041.0/B60*100)</f>
        <v/>
      </c>
      <c r="D60" s="19" t="n">
        <v>410</v>
      </c>
      <c r="E60" s="18" t="n">
        <v>45.83477436</v>
      </c>
      <c r="F60" s="20" t="n">
        <v>3.40397206</v>
      </c>
      <c r="G60" s="18" t="n">
        <v>31.11898479</v>
      </c>
      <c r="H60" s="20" t="n">
        <v>2.6054588</v>
      </c>
      <c r="I60" s="18" t="s">
        <v>349</v>
      </c>
      <c r="J60" s="20" t="s">
        <v>349</v>
      </c>
      <c r="K60" s="18" t="n">
        <v>3.72917716</v>
      </c>
      <c r="L60" s="20" t="n">
        <v>1.31303197</v>
      </c>
      <c r="M60" s="18" t="n">
        <v>0.28386062</v>
      </c>
      <c r="N60" s="20" t="n">
        <v>0.27934532</v>
      </c>
      <c r="O60" s="18" t="n">
        <v>3.62146609</v>
      </c>
      <c r="P60" s="20" t="n">
        <v>1.07302406</v>
      </c>
      <c r="Q60" s="18" t="n">
        <v>15.41173698</v>
      </c>
      <c r="R60" s="20" t="n">
        <v>1.95197841</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(2094.0/B63*100)</f>
        <v/>
      </c>
      <c r="D63" s="19" t="n">
        <v>417</v>
      </c>
      <c r="E63" s="18" t="n">
        <v>54.88059286</v>
      </c>
      <c r="F63" s="20" t="n">
        <v>2.62644492</v>
      </c>
      <c r="G63" s="18" t="n">
        <v>33.67548535</v>
      </c>
      <c r="H63" s="20" t="n">
        <v>2.43438665</v>
      </c>
      <c r="I63" s="18" t="s">
        <v>349</v>
      </c>
      <c r="J63" s="20" t="s">
        <v>349</v>
      </c>
      <c r="K63" s="18" t="n">
        <v>1.4268747</v>
      </c>
      <c r="L63" s="20" t="n">
        <v>0.55496036</v>
      </c>
      <c r="M63" s="18" t="n">
        <v>0</v>
      </c>
      <c r="N63" s="20" t="n">
        <v>0</v>
      </c>
      <c r="O63" s="18" t="n">
        <v>0.27365109</v>
      </c>
      <c r="P63" s="20" t="n">
        <v>0.20798278</v>
      </c>
      <c r="Q63" s="18" t="n">
        <v>9.743396000000001</v>
      </c>
      <c r="R63" s="20" t="n">
        <v>1.84698468</v>
      </c>
    </row>
    <row r="64" spans="1:18">
      <c r="A64" s="15" t="s">
        <v>406</v>
      </c>
      <c r="B64" s="17" t="n">
        <v>1790</v>
      </c>
      <c r="C64" s="18">
        <f>(1504.0/B64*100)</f>
        <v/>
      </c>
      <c r="D64" s="19" t="n">
        <v>286</v>
      </c>
      <c r="E64" s="18" t="n">
        <v>48.60809053</v>
      </c>
      <c r="F64" s="20" t="n">
        <v>3.2131171</v>
      </c>
      <c r="G64" s="18" t="n">
        <v>46.35556861</v>
      </c>
      <c r="H64" s="20" t="n">
        <v>3.25728871</v>
      </c>
      <c r="I64" s="18" t="s">
        <v>349</v>
      </c>
      <c r="J64" s="20" t="s">
        <v>349</v>
      </c>
      <c r="K64" s="18" t="n">
        <v>1.72653749</v>
      </c>
      <c r="L64" s="20" t="n">
        <v>0.93802372</v>
      </c>
      <c r="M64" s="18" t="n">
        <v>0</v>
      </c>
      <c r="N64" s="20" t="n">
        <v>0</v>
      </c>
      <c r="O64" s="18" t="n">
        <v>1.11296015</v>
      </c>
      <c r="P64" s="20" t="n">
        <v>0.65183508</v>
      </c>
      <c r="Q64" s="18" t="n">
        <v>2.19684322</v>
      </c>
      <c r="R64" s="20" t="n">
        <v>0.89691454</v>
      </c>
    </row>
    <row r="65" spans="1:18">
      <c r="A65" s="15" t="s">
        <v>407</v>
      </c>
      <c r="B65" s="17" t="n">
        <v>2634</v>
      </c>
      <c r="C65" s="18">
        <f>(2199.0/B65*100)</f>
        <v/>
      </c>
      <c r="D65" s="19" t="n">
        <v>435</v>
      </c>
      <c r="E65" s="18" t="n">
        <v>35.37152813</v>
      </c>
      <c r="F65" s="20" t="n">
        <v>2.17884472</v>
      </c>
      <c r="G65" s="18" t="n">
        <v>48.86119969</v>
      </c>
      <c r="H65" s="20" t="n">
        <v>2.47285182</v>
      </c>
      <c r="I65" s="18" t="s">
        <v>349</v>
      </c>
      <c r="J65" s="20" t="s">
        <v>349</v>
      </c>
      <c r="K65" s="18" t="n">
        <v>4.16621293</v>
      </c>
      <c r="L65" s="20" t="n">
        <v>1.15596736</v>
      </c>
      <c r="M65" s="18" t="n">
        <v>3.05671447</v>
      </c>
      <c r="N65" s="20" t="n">
        <v>0.87664915</v>
      </c>
      <c r="O65" s="18" t="n">
        <v>0</v>
      </c>
      <c r="P65" s="20" t="n">
        <v>0</v>
      </c>
      <c r="Q65" s="18" t="n">
        <v>8.544344779999999</v>
      </c>
      <c r="R65" s="20" t="n">
        <v>1.4325331</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(2062.0/B69*100)</f>
        <v/>
      </c>
      <c r="D69" s="19" t="n">
        <v>404</v>
      </c>
      <c r="E69" s="18" t="n">
        <v>51.56597414</v>
      </c>
      <c r="F69" s="20" t="n">
        <v>2.47757146</v>
      </c>
      <c r="G69" s="18" t="n">
        <v>48.43402586</v>
      </c>
      <c r="H69" s="20" t="n">
        <v>2.47757146</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(2039.0/B74*100)</f>
        <v/>
      </c>
      <c r="D74" s="19" t="n">
        <v>414</v>
      </c>
      <c r="E74" s="18" t="n">
        <v>46.568852</v>
      </c>
      <c r="F74" s="20" t="n">
        <v>3.17138616</v>
      </c>
      <c r="G74" s="18" t="n">
        <v>46.0529349</v>
      </c>
      <c r="H74" s="20" t="n">
        <v>2.92431115</v>
      </c>
      <c r="I74" s="18" t="s">
        <v>349</v>
      </c>
      <c r="J74" s="20" t="s">
        <v>349</v>
      </c>
      <c r="K74" s="18" t="n">
        <v>2.99581962</v>
      </c>
      <c r="L74" s="20" t="n">
        <v>0.8730723500000001</v>
      </c>
      <c r="M74" s="18" t="n">
        <v>0</v>
      </c>
      <c r="N74" s="20" t="n">
        <v>0</v>
      </c>
      <c r="O74" s="18" t="n">
        <v>0</v>
      </c>
      <c r="P74" s="20" t="n">
        <v>0</v>
      </c>
      <c r="Q74" s="18" t="n">
        <v>4.38239348</v>
      </c>
      <c r="R74" s="20" t="n">
        <v>1.30554568</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(2530.0/B78*100)</f>
        <v/>
      </c>
      <c r="D78" s="19" t="n">
        <v>510</v>
      </c>
      <c r="E78" s="18" t="n">
        <v>28.09019245</v>
      </c>
      <c r="F78" s="20" t="n">
        <v>2.35207456</v>
      </c>
      <c r="G78" s="18" t="n">
        <v>71.27520038</v>
      </c>
      <c r="H78" s="20" t="n">
        <v>2.43195607</v>
      </c>
      <c r="I78" s="18" t="s">
        <v>349</v>
      </c>
      <c r="J78" s="20" t="s">
        <v>349</v>
      </c>
      <c r="K78" s="18" t="n">
        <v>0</v>
      </c>
      <c r="L78" s="20" t="n">
        <v>0</v>
      </c>
      <c r="M78" s="18" t="n">
        <v>0</v>
      </c>
      <c r="N78" s="20" t="n">
        <v>0</v>
      </c>
      <c r="O78" s="18" t="n">
        <v>0.42910732</v>
      </c>
      <c r="P78" s="20" t="n">
        <v>0.43000972</v>
      </c>
      <c r="Q78" s="18" t="n">
        <v>0.20549986</v>
      </c>
      <c r="R78" s="20" t="n">
        <v>0.14572466</v>
      </c>
    </row>
    <row customHeight="1" ht="25" r="79" spans="1:18">
      <c r="A79" s="15" t="s">
        <v>421</v>
      </c>
      <c r="B79" s="17" t="n">
        <v>870</v>
      </c>
      <c r="C79" s="18">
        <f>(720.0/B79*100)</f>
        <v/>
      </c>
      <c r="D79" s="19" t="n">
        <v>150</v>
      </c>
      <c r="E79" s="18" t="n">
        <v>34.90258049</v>
      </c>
      <c r="F79" s="20" t="n">
        <v>3.52149086</v>
      </c>
      <c r="G79" s="18" t="n">
        <v>56.03925098</v>
      </c>
      <c r="H79" s="20" t="n">
        <v>3.71656019</v>
      </c>
      <c r="I79" s="18" t="s">
        <v>349</v>
      </c>
      <c r="J79" s="20" t="s">
        <v>349</v>
      </c>
      <c r="K79" s="18" t="n">
        <v>0.86107099</v>
      </c>
      <c r="L79" s="20" t="n">
        <v>0.65467066</v>
      </c>
      <c r="M79" s="18" t="n">
        <v>0</v>
      </c>
      <c r="N79" s="20" t="n">
        <v>0</v>
      </c>
      <c r="O79" s="18" t="n">
        <v>0.73531821</v>
      </c>
      <c r="P79" s="20" t="n">
        <v>0.73145784</v>
      </c>
      <c r="Q79" s="18" t="n">
        <v>7.46177933</v>
      </c>
      <c r="R79" s="20" t="n">
        <v>2.24332522</v>
      </c>
    </row>
    <row r="80" spans="1:18">
      <c r="A80" s="15" t="s">
        <v>422</v>
      </c>
      <c r="B80" s="17" t="n">
        <v>4043</v>
      </c>
      <c r="C80" s="18">
        <f>(3356.0/B80*100)</f>
        <v/>
      </c>
      <c r="D80" s="19" t="n">
        <v>687</v>
      </c>
      <c r="E80" s="18" t="n">
        <v>40.15979785</v>
      </c>
      <c r="F80" s="20" t="n">
        <v>2.91345638</v>
      </c>
      <c r="G80" s="18" t="n">
        <v>59.74677263</v>
      </c>
      <c r="H80" s="20" t="n">
        <v>2.91136083</v>
      </c>
      <c r="I80" s="18" t="s">
        <v>349</v>
      </c>
      <c r="J80" s="20" t="s">
        <v>349</v>
      </c>
      <c r="K80" s="18" t="n">
        <v>0</v>
      </c>
      <c r="L80" s="20" t="n">
        <v>0</v>
      </c>
      <c r="M80" s="18" t="n">
        <v>0</v>
      </c>
      <c r="N80" s="20" t="n">
        <v>0</v>
      </c>
      <c r="O80" s="18" t="n">
        <v>0</v>
      </c>
      <c r="P80" s="20" t="n">
        <v>0</v>
      </c>
      <c r="Q80" s="18" t="n">
        <v>0.09342952</v>
      </c>
      <c r="R80" s="20" t="n">
        <v>0.06632222</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(2238.0/B44*100)</f>
        <v/>
      </c>
      <c r="D44" s="19" t="n">
        <v>453</v>
      </c>
      <c r="E44" s="18" t="n">
        <v>58.15726336</v>
      </c>
      <c r="F44" s="20" t="n">
        <v>2.33440195</v>
      </c>
      <c r="G44" s="18" t="n">
        <v>31.5443444</v>
      </c>
      <c r="H44" s="20" t="n">
        <v>2.34162592</v>
      </c>
      <c r="I44" s="18" t="s">
        <v>349</v>
      </c>
      <c r="J44" s="20" t="s">
        <v>349</v>
      </c>
      <c r="K44" s="18" t="n">
        <v>1.69534828</v>
      </c>
      <c r="L44" s="20" t="n">
        <v>0.71386348</v>
      </c>
      <c r="M44" s="18" t="n">
        <v>0</v>
      </c>
      <c r="N44" s="20" t="n">
        <v>0</v>
      </c>
      <c r="O44" s="18" t="n">
        <v>0.42632584</v>
      </c>
      <c r="P44" s="20" t="n">
        <v>0.24520349</v>
      </c>
      <c r="Q44" s="18" t="n">
        <v>8.17671812</v>
      </c>
      <c r="R44" s="20" t="n">
        <v>1.44253596</v>
      </c>
    </row>
    <row r="45" spans="1:18">
      <c r="A45" s="15" t="s">
        <v>387</v>
      </c>
      <c r="B45" s="17" t="n">
        <v>2670</v>
      </c>
      <c r="C45" s="18">
        <f>(2216.0/B45*100)</f>
        <v/>
      </c>
      <c r="D45" s="19" t="n">
        <v>454</v>
      </c>
      <c r="E45" s="18" t="n">
        <v>58.59934783</v>
      </c>
      <c r="F45" s="20" t="n">
        <v>2.49983936</v>
      </c>
      <c r="G45" s="18" t="n">
        <v>19.58923119</v>
      </c>
      <c r="H45" s="20" t="n">
        <v>1.70612351</v>
      </c>
      <c r="I45" s="18" t="s">
        <v>349</v>
      </c>
      <c r="J45" s="20" t="s">
        <v>349</v>
      </c>
      <c r="K45" s="18" t="n">
        <v>3.63539968</v>
      </c>
      <c r="L45" s="20" t="n">
        <v>0.86521651</v>
      </c>
      <c r="M45" s="18" t="n">
        <v>0</v>
      </c>
      <c r="N45" s="20" t="n">
        <v>0</v>
      </c>
      <c r="O45" s="18" t="n">
        <v>1.47696339</v>
      </c>
      <c r="P45" s="20" t="n">
        <v>0.60330836</v>
      </c>
      <c r="Q45" s="18" t="n">
        <v>16.6990579</v>
      </c>
      <c r="R45" s="20" t="n">
        <v>1.86152693</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(2777.0/B49*100)</f>
        <v/>
      </c>
      <c r="D49" s="19" t="n">
        <v>554</v>
      </c>
      <c r="E49" s="18" t="n">
        <v>57.18336227</v>
      </c>
      <c r="F49" s="20" t="n">
        <v>2.28289296</v>
      </c>
      <c r="G49" s="18" t="n">
        <v>34.40959004</v>
      </c>
      <c r="H49" s="20" t="n">
        <v>2.03391174</v>
      </c>
      <c r="I49" s="18" t="s">
        <v>349</v>
      </c>
      <c r="J49" s="20" t="s">
        <v>349</v>
      </c>
      <c r="K49" s="18" t="n">
        <v>1.85331571</v>
      </c>
      <c r="L49" s="20" t="n">
        <v>0.59376955</v>
      </c>
      <c r="M49" s="18" t="n">
        <v>0</v>
      </c>
      <c r="N49" s="20" t="n">
        <v>0</v>
      </c>
      <c r="O49" s="18" t="n">
        <v>0.62219017</v>
      </c>
      <c r="P49" s="20" t="n">
        <v>0.37239558</v>
      </c>
      <c r="Q49" s="18" t="n">
        <v>5.9315418</v>
      </c>
      <c r="R49" s="20" t="n">
        <v>1.42737252</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(2100.0/B55*100)</f>
        <v/>
      </c>
      <c r="D55" s="19" t="n">
        <v>457</v>
      </c>
      <c r="E55" s="18" t="n">
        <v>53.23777812</v>
      </c>
      <c r="F55" s="20" t="n">
        <v>2.4581894</v>
      </c>
      <c r="G55" s="18" t="n">
        <v>36.87605657</v>
      </c>
      <c r="H55" s="20" t="n">
        <v>2.12576221</v>
      </c>
      <c r="I55" s="18" t="s">
        <v>349</v>
      </c>
      <c r="J55" s="20" t="s">
        <v>349</v>
      </c>
      <c r="K55" s="18" t="n">
        <v>1.39963526</v>
      </c>
      <c r="L55" s="20" t="n">
        <v>0.41612918</v>
      </c>
      <c r="M55" s="18" t="n">
        <v>0</v>
      </c>
      <c r="N55" s="20" t="n">
        <v>0</v>
      </c>
      <c r="O55" s="18" t="n">
        <v>0.5867975600000001</v>
      </c>
      <c r="P55" s="20" t="n">
        <v>0.3340954</v>
      </c>
      <c r="Q55" s="18" t="n">
        <v>7.89973249</v>
      </c>
      <c r="R55" s="20" t="n">
        <v>1.36058418</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(2786.0/B57*100)</f>
        <v/>
      </c>
      <c r="D57" s="19" t="n">
        <v>557</v>
      </c>
      <c r="E57" s="18" t="n">
        <v>52.9236239</v>
      </c>
      <c r="F57" s="20" t="n">
        <v>2.02821188</v>
      </c>
      <c r="G57" s="18" t="n">
        <v>37.56758499</v>
      </c>
      <c r="H57" s="20" t="n">
        <v>2.02866264</v>
      </c>
      <c r="I57" s="18" t="s">
        <v>349</v>
      </c>
      <c r="J57" s="20" t="s">
        <v>349</v>
      </c>
      <c r="K57" s="18" t="n">
        <v>0.85611755</v>
      </c>
      <c r="L57" s="20" t="n">
        <v>0.39292773</v>
      </c>
      <c r="M57" s="18" t="n">
        <v>0.17889213</v>
      </c>
      <c r="N57" s="20" t="n">
        <v>0.17870465</v>
      </c>
      <c r="O57" s="18" t="n">
        <v>1.16705402</v>
      </c>
      <c r="P57" s="20" t="n">
        <v>0.54769332</v>
      </c>
      <c r="Q57" s="18" t="n">
        <v>7.3067274</v>
      </c>
      <c r="R57" s="20" t="n">
        <v>1.17664142</v>
      </c>
    </row>
    <row r="58" spans="1:18">
      <c r="A58" s="15" t="s">
        <v>400</v>
      </c>
      <c r="B58" s="17" t="n">
        <v>3737</v>
      </c>
      <c r="C58" s="18">
        <f>(3119.0/B58*100)</f>
        <v/>
      </c>
      <c r="D58" s="19" t="n">
        <v>618</v>
      </c>
      <c r="E58" s="18" t="n">
        <v>61.02607695</v>
      </c>
      <c r="F58" s="20" t="n">
        <v>2.33460548</v>
      </c>
      <c r="G58" s="18" t="n">
        <v>33.23276911</v>
      </c>
      <c r="H58" s="20" t="n">
        <v>2.10017974</v>
      </c>
      <c r="I58" s="18" t="s">
        <v>349</v>
      </c>
      <c r="J58" s="20" t="s">
        <v>349</v>
      </c>
      <c r="K58" s="18" t="n">
        <v>0.80768048</v>
      </c>
      <c r="L58" s="20" t="n">
        <v>0.38128725</v>
      </c>
      <c r="M58" s="18" t="n">
        <v>0</v>
      </c>
      <c r="N58" s="20" t="n">
        <v>0</v>
      </c>
      <c r="O58" s="18" t="n">
        <v>1.14523836</v>
      </c>
      <c r="P58" s="20" t="n">
        <v>0.5119399100000001</v>
      </c>
      <c r="Q58" s="18" t="n">
        <v>3.7882351</v>
      </c>
      <c r="R58" s="20" t="n">
        <v>0.8662657499999999</v>
      </c>
    </row>
    <row r="59" spans="1:18">
      <c r="A59" s="15" t="s">
        <v>401</v>
      </c>
      <c r="B59" s="17" t="n">
        <v>2278</v>
      </c>
      <c r="C59" s="18">
        <f>(1902.0/B59*100)</f>
        <v/>
      </c>
      <c r="D59" s="19" t="n">
        <v>376</v>
      </c>
      <c r="E59" s="18" t="n">
        <v>66.28791038</v>
      </c>
      <c r="F59" s="20" t="n">
        <v>3.07368325</v>
      </c>
      <c r="G59" s="18" t="n">
        <v>23.22071915</v>
      </c>
      <c r="H59" s="20" t="n">
        <v>2.64056186</v>
      </c>
      <c r="I59" s="18" t="s">
        <v>349</v>
      </c>
      <c r="J59" s="20" t="s">
        <v>349</v>
      </c>
      <c r="K59" s="18" t="n">
        <v>0.28575772</v>
      </c>
      <c r="L59" s="20" t="n">
        <v>0.21679737</v>
      </c>
      <c r="M59" s="18" t="n">
        <v>0</v>
      </c>
      <c r="N59" s="20" t="n">
        <v>0</v>
      </c>
      <c r="O59" s="18" t="n">
        <v>1.60056982</v>
      </c>
      <c r="P59" s="20" t="n">
        <v>0.95701632</v>
      </c>
      <c r="Q59" s="18" t="n">
        <v>8.60504293</v>
      </c>
      <c r="R59" s="20" t="n">
        <v>1.96614696</v>
      </c>
    </row>
    <row r="60" spans="1:18">
      <c r="A60" s="15" t="s">
        <v>402</v>
      </c>
      <c r="B60" s="17" t="n">
        <v>2451</v>
      </c>
      <c r="C60" s="18">
        <f>(2041.0/B60*100)</f>
        <v/>
      </c>
      <c r="D60" s="19" t="n">
        <v>410</v>
      </c>
      <c r="E60" s="18" t="n">
        <v>51.40003774</v>
      </c>
      <c r="F60" s="20" t="n">
        <v>2.37046296</v>
      </c>
      <c r="G60" s="18" t="n">
        <v>31.47562476</v>
      </c>
      <c r="H60" s="20" t="n">
        <v>2.1602584</v>
      </c>
      <c r="I60" s="18" t="s">
        <v>349</v>
      </c>
      <c r="J60" s="20" t="s">
        <v>349</v>
      </c>
      <c r="K60" s="18" t="n">
        <v>3.72917716</v>
      </c>
      <c r="L60" s="20" t="n">
        <v>1.31303197</v>
      </c>
      <c r="M60" s="18" t="n">
        <v>0</v>
      </c>
      <c r="N60" s="20" t="n">
        <v>0</v>
      </c>
      <c r="O60" s="18" t="n">
        <v>1.7030158</v>
      </c>
      <c r="P60" s="20" t="n">
        <v>0.70296616</v>
      </c>
      <c r="Q60" s="18" t="n">
        <v>11.69214454</v>
      </c>
      <c r="R60" s="20" t="n">
        <v>1.93580243</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(2094.0/B63*100)</f>
        <v/>
      </c>
      <c r="D63" s="19" t="n">
        <v>417</v>
      </c>
      <c r="E63" s="18" t="n">
        <v>60.96093565</v>
      </c>
      <c r="F63" s="20" t="n">
        <v>3.01098748</v>
      </c>
      <c r="G63" s="18" t="n">
        <v>23.57779963</v>
      </c>
      <c r="H63" s="20" t="n">
        <v>2.60117597</v>
      </c>
      <c r="I63" s="18" t="s">
        <v>349</v>
      </c>
      <c r="J63" s="20" t="s">
        <v>349</v>
      </c>
      <c r="K63" s="18" t="n">
        <v>1.74402888</v>
      </c>
      <c r="L63" s="20" t="n">
        <v>0.60898043</v>
      </c>
      <c r="M63" s="18" t="n">
        <v>0</v>
      </c>
      <c r="N63" s="20" t="n">
        <v>0</v>
      </c>
      <c r="O63" s="18" t="n">
        <v>0.99851418</v>
      </c>
      <c r="P63" s="20" t="n">
        <v>0.51100435</v>
      </c>
      <c r="Q63" s="18" t="n">
        <v>12.71872167</v>
      </c>
      <c r="R63" s="20" t="n">
        <v>1.71152954</v>
      </c>
    </row>
    <row r="64" spans="1:18">
      <c r="A64" s="15" t="s">
        <v>406</v>
      </c>
      <c r="B64" s="17" t="n">
        <v>1790</v>
      </c>
      <c r="C64" s="18">
        <f>(1504.0/B64*100)</f>
        <v/>
      </c>
      <c r="D64" s="19" t="n">
        <v>286</v>
      </c>
      <c r="E64" s="18" t="n">
        <v>55.80404184</v>
      </c>
      <c r="F64" s="20" t="n">
        <v>2.75493736</v>
      </c>
      <c r="G64" s="18" t="n">
        <v>38.45288539</v>
      </c>
      <c r="H64" s="20" t="n">
        <v>2.77992595</v>
      </c>
      <c r="I64" s="18" t="s">
        <v>349</v>
      </c>
      <c r="J64" s="20" t="s">
        <v>349</v>
      </c>
      <c r="K64" s="18" t="n">
        <v>1.72653749</v>
      </c>
      <c r="L64" s="20" t="n">
        <v>0.93802372</v>
      </c>
      <c r="M64" s="18" t="n">
        <v>0</v>
      </c>
      <c r="N64" s="20" t="n">
        <v>0</v>
      </c>
      <c r="O64" s="18" t="n">
        <v>1.1545865</v>
      </c>
      <c r="P64" s="20" t="n">
        <v>0.67112132</v>
      </c>
      <c r="Q64" s="18" t="n">
        <v>2.86194877</v>
      </c>
      <c r="R64" s="20" t="n">
        <v>1.08835743</v>
      </c>
    </row>
    <row r="65" spans="1:18">
      <c r="A65" s="15" t="s">
        <v>407</v>
      </c>
      <c r="B65" s="17" t="n">
        <v>2634</v>
      </c>
      <c r="C65" s="18">
        <f>(2199.0/B65*100)</f>
        <v/>
      </c>
      <c r="D65" s="19" t="n">
        <v>435</v>
      </c>
      <c r="E65" s="18" t="n">
        <v>47.20360388</v>
      </c>
      <c r="F65" s="20" t="n">
        <v>2.73818515</v>
      </c>
      <c r="G65" s="18" t="n">
        <v>39.31031573</v>
      </c>
      <c r="H65" s="20" t="n">
        <v>2.19671294</v>
      </c>
      <c r="I65" s="18" t="s">
        <v>349</v>
      </c>
      <c r="J65" s="20" t="s">
        <v>349</v>
      </c>
      <c r="K65" s="18" t="n">
        <v>4.59995872</v>
      </c>
      <c r="L65" s="20" t="n">
        <v>1.19336296</v>
      </c>
      <c r="M65" s="18" t="n">
        <v>0.21649714</v>
      </c>
      <c r="N65" s="20" t="n">
        <v>0.21661536</v>
      </c>
      <c r="O65" s="18" t="n">
        <v>0</v>
      </c>
      <c r="P65" s="20" t="n">
        <v>0</v>
      </c>
      <c r="Q65" s="18" t="n">
        <v>8.66962453</v>
      </c>
      <c r="R65" s="20" t="n">
        <v>1.27925917</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(2062.0/B69*100)</f>
        <v/>
      </c>
      <c r="D69" s="19" t="n">
        <v>404</v>
      </c>
      <c r="E69" s="18" t="n">
        <v>57.9383055</v>
      </c>
      <c r="F69" s="20" t="n">
        <v>3.02831058</v>
      </c>
      <c r="G69" s="18" t="n">
        <v>42.0616945</v>
      </c>
      <c r="H69" s="20" t="n">
        <v>3.02831058</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(2039.0/B74*100)</f>
        <v/>
      </c>
      <c r="D74" s="19" t="n">
        <v>414</v>
      </c>
      <c r="E74" s="18" t="n">
        <v>47.32885356</v>
      </c>
      <c r="F74" s="20" t="n">
        <v>2.53237011</v>
      </c>
      <c r="G74" s="18" t="n">
        <v>40.97092728</v>
      </c>
      <c r="H74" s="20" t="n">
        <v>2.46928332</v>
      </c>
      <c r="I74" s="18" t="s">
        <v>349</v>
      </c>
      <c r="J74" s="20" t="s">
        <v>349</v>
      </c>
      <c r="K74" s="18" t="n">
        <v>3.60326232</v>
      </c>
      <c r="L74" s="20" t="n">
        <v>0.97400359</v>
      </c>
      <c r="M74" s="18" t="n">
        <v>0</v>
      </c>
      <c r="N74" s="20" t="n">
        <v>0</v>
      </c>
      <c r="O74" s="18" t="n">
        <v>0</v>
      </c>
      <c r="P74" s="20" t="n">
        <v>0</v>
      </c>
      <c r="Q74" s="18" t="n">
        <v>8.096956840000001</v>
      </c>
      <c r="R74" s="20" t="n">
        <v>1.52666491</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(2530.0/B78*100)</f>
        <v/>
      </c>
      <c r="D78" s="19" t="n">
        <v>510</v>
      </c>
      <c r="E78" s="18" t="n">
        <v>50.49731624</v>
      </c>
      <c r="F78" s="20" t="n">
        <v>2.22627164</v>
      </c>
      <c r="G78" s="18" t="n">
        <v>48.89393226</v>
      </c>
      <c r="H78" s="20" t="n">
        <v>2.25678742</v>
      </c>
      <c r="I78" s="18" t="s">
        <v>349</v>
      </c>
      <c r="J78" s="20" t="s">
        <v>349</v>
      </c>
      <c r="K78" s="18" t="n">
        <v>0</v>
      </c>
      <c r="L78" s="20" t="n">
        <v>0</v>
      </c>
      <c r="M78" s="18" t="n">
        <v>0</v>
      </c>
      <c r="N78" s="20" t="n">
        <v>0</v>
      </c>
      <c r="O78" s="18" t="n">
        <v>0.6087515</v>
      </c>
      <c r="P78" s="20" t="n">
        <v>0.36362677</v>
      </c>
      <c r="Q78" s="18" t="n">
        <v>0</v>
      </c>
      <c r="R78" s="20" t="n">
        <v>0</v>
      </c>
    </row>
    <row customHeight="1" ht="25" r="79" spans="1:18">
      <c r="A79" s="15" t="s">
        <v>421</v>
      </c>
      <c r="B79" s="17" t="n">
        <v>870</v>
      </c>
      <c r="C79" s="18">
        <f>(720.0/B79*100)</f>
        <v/>
      </c>
      <c r="D79" s="19" t="n">
        <v>150</v>
      </c>
      <c r="E79" s="18" t="n">
        <v>60.24798205</v>
      </c>
      <c r="F79" s="20" t="n">
        <v>5.00471818</v>
      </c>
      <c r="G79" s="18" t="n">
        <v>32.94986605</v>
      </c>
      <c r="H79" s="20" t="n">
        <v>4.59257729</v>
      </c>
      <c r="I79" s="18" t="s">
        <v>349</v>
      </c>
      <c r="J79" s="20" t="s">
        <v>349</v>
      </c>
      <c r="K79" s="18" t="n">
        <v>0.86107099</v>
      </c>
      <c r="L79" s="20" t="n">
        <v>0.65467066</v>
      </c>
      <c r="M79" s="18" t="n">
        <v>0</v>
      </c>
      <c r="N79" s="20" t="n">
        <v>0</v>
      </c>
      <c r="O79" s="18" t="n">
        <v>0</v>
      </c>
      <c r="P79" s="20" t="n">
        <v>0</v>
      </c>
      <c r="Q79" s="18" t="n">
        <v>5.9410809</v>
      </c>
      <c r="R79" s="20" t="n">
        <v>1.67042808</v>
      </c>
    </row>
    <row r="80" spans="1:18">
      <c r="A80" s="15" t="s">
        <v>422</v>
      </c>
      <c r="B80" s="17" t="n">
        <v>4043</v>
      </c>
      <c r="C80" s="18">
        <f>(3356.0/B80*100)</f>
        <v/>
      </c>
      <c r="D80" s="19" t="n">
        <v>687</v>
      </c>
      <c r="E80" s="18" t="n">
        <v>46.92498263</v>
      </c>
      <c r="F80" s="20" t="n">
        <v>2.64051191</v>
      </c>
      <c r="G80" s="18" t="n">
        <v>52.47447023</v>
      </c>
      <c r="H80" s="20" t="n">
        <v>2.59867881</v>
      </c>
      <c r="I80" s="18" t="s">
        <v>349</v>
      </c>
      <c r="J80" s="20" t="s">
        <v>349</v>
      </c>
      <c r="K80" s="18" t="n">
        <v>0</v>
      </c>
      <c r="L80" s="20" t="n">
        <v>0</v>
      </c>
      <c r="M80" s="18" t="n">
        <v>0</v>
      </c>
      <c r="N80" s="20" t="n">
        <v>0</v>
      </c>
      <c r="O80" s="18" t="n">
        <v>0</v>
      </c>
      <c r="P80" s="20" t="n">
        <v>0</v>
      </c>
      <c r="Q80" s="18" t="n">
        <v>0.60054713</v>
      </c>
      <c r="R80" s="20" t="n">
        <v>0.35307971</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(2238.0/B44*100)</f>
        <v/>
      </c>
      <c r="D44" s="19" t="n">
        <v>453</v>
      </c>
      <c r="E44" s="18" t="n">
        <v>78.88698405</v>
      </c>
      <c r="F44" s="20" t="n">
        <v>2.70201616</v>
      </c>
      <c r="G44" s="18" t="n">
        <v>15.2941604</v>
      </c>
      <c r="H44" s="20" t="n">
        <v>2.39313169</v>
      </c>
      <c r="I44" s="18" t="s">
        <v>349</v>
      </c>
      <c r="J44" s="20" t="s">
        <v>349</v>
      </c>
      <c r="K44" s="18" t="n">
        <v>2.10452883</v>
      </c>
      <c r="L44" s="20" t="n">
        <v>0.76144994</v>
      </c>
      <c r="M44" s="18" t="n">
        <v>0</v>
      </c>
      <c r="N44" s="20" t="n">
        <v>0</v>
      </c>
      <c r="O44" s="18" t="n">
        <v>0</v>
      </c>
      <c r="P44" s="20" t="n">
        <v>0</v>
      </c>
      <c r="Q44" s="18" t="n">
        <v>3.71432672</v>
      </c>
      <c r="R44" s="20" t="n">
        <v>1.01428851</v>
      </c>
    </row>
    <row r="45" spans="1:18">
      <c r="A45" s="15" t="s">
        <v>387</v>
      </c>
      <c r="B45" s="17" t="n">
        <v>2670</v>
      </c>
      <c r="C45" s="18">
        <f>(2216.0/B45*100)</f>
        <v/>
      </c>
      <c r="D45" s="19" t="n">
        <v>454</v>
      </c>
      <c r="E45" s="18" t="n">
        <v>89.30744128000001</v>
      </c>
      <c r="F45" s="20" t="n">
        <v>1.3179902</v>
      </c>
      <c r="G45" s="18" t="n">
        <v>1.90307495</v>
      </c>
      <c r="H45" s="20" t="n">
        <v>0.9630323200000001</v>
      </c>
      <c r="I45" s="18" t="s">
        <v>349</v>
      </c>
      <c r="J45" s="20" t="s">
        <v>349</v>
      </c>
      <c r="K45" s="18" t="n">
        <v>3.63539968</v>
      </c>
      <c r="L45" s="20" t="n">
        <v>0.86521651</v>
      </c>
      <c r="M45" s="18" t="n">
        <v>0</v>
      </c>
      <c r="N45" s="20" t="n">
        <v>0</v>
      </c>
      <c r="O45" s="18" t="n">
        <v>0</v>
      </c>
      <c r="P45" s="20" t="n">
        <v>0</v>
      </c>
      <c r="Q45" s="18" t="n">
        <v>5.15408408</v>
      </c>
      <c r="R45" s="20" t="n">
        <v>1.02858076</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(2777.0/B49*100)</f>
        <v/>
      </c>
      <c r="D49" s="19" t="n">
        <v>554</v>
      </c>
      <c r="E49" s="18" t="n">
        <v>70.92726666</v>
      </c>
      <c r="F49" s="20" t="n">
        <v>2.21909916</v>
      </c>
      <c r="G49" s="18" t="n">
        <v>26.43896951</v>
      </c>
      <c r="H49" s="20" t="n">
        <v>2.28435739</v>
      </c>
      <c r="I49" s="18" t="s">
        <v>349</v>
      </c>
      <c r="J49" s="20" t="s">
        <v>349</v>
      </c>
      <c r="K49" s="18" t="n">
        <v>2.0381696</v>
      </c>
      <c r="L49" s="20" t="n">
        <v>0.62593273</v>
      </c>
      <c r="M49" s="18" t="n">
        <v>0</v>
      </c>
      <c r="N49" s="20" t="n">
        <v>0</v>
      </c>
      <c r="O49" s="18" t="n">
        <v>0</v>
      </c>
      <c r="P49" s="20" t="n">
        <v>0</v>
      </c>
      <c r="Q49" s="18" t="n">
        <v>0.59559422</v>
      </c>
      <c r="R49" s="20" t="n">
        <v>0.46652484</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(2100.0/B55*100)</f>
        <v/>
      </c>
      <c r="D55" s="19" t="n">
        <v>457</v>
      </c>
      <c r="E55" s="18" t="n">
        <v>84.69990882</v>
      </c>
      <c r="F55" s="20" t="n">
        <v>1.91603517</v>
      </c>
      <c r="G55" s="18" t="n">
        <v>11.67649545</v>
      </c>
      <c r="H55" s="20" t="n">
        <v>1.64536587</v>
      </c>
      <c r="I55" s="18" t="s">
        <v>349</v>
      </c>
      <c r="J55" s="20" t="s">
        <v>349</v>
      </c>
      <c r="K55" s="18" t="n">
        <v>1.50947265</v>
      </c>
      <c r="L55" s="20" t="n">
        <v>0.42666021</v>
      </c>
      <c r="M55" s="18" t="n">
        <v>0</v>
      </c>
      <c r="N55" s="20" t="n">
        <v>0</v>
      </c>
      <c r="O55" s="18" t="n">
        <v>0.19805969</v>
      </c>
      <c r="P55" s="20" t="n">
        <v>0.19746337</v>
      </c>
      <c r="Q55" s="18" t="n">
        <v>1.9160634</v>
      </c>
      <c r="R55" s="20" t="n">
        <v>0.53917869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(2786.0/B57*100)</f>
        <v/>
      </c>
      <c r="D57" s="19" t="n">
        <v>557</v>
      </c>
      <c r="E57" s="18" t="n">
        <v>90.12800085000001</v>
      </c>
      <c r="F57" s="20" t="n">
        <v>1.41814068</v>
      </c>
      <c r="G57" s="18" t="n">
        <v>6.74853503</v>
      </c>
      <c r="H57" s="20" t="n">
        <v>1.30165364</v>
      </c>
      <c r="I57" s="18" t="s">
        <v>349</v>
      </c>
      <c r="J57" s="20" t="s">
        <v>349</v>
      </c>
      <c r="K57" s="18" t="n">
        <v>0.85611755</v>
      </c>
      <c r="L57" s="20" t="n">
        <v>0.39292773</v>
      </c>
      <c r="M57" s="18" t="n">
        <v>0.17889213</v>
      </c>
      <c r="N57" s="20" t="n">
        <v>0.17870465</v>
      </c>
      <c r="O57" s="18" t="n">
        <v>0</v>
      </c>
      <c r="P57" s="20" t="n">
        <v>0</v>
      </c>
      <c r="Q57" s="18" t="n">
        <v>2.08845443</v>
      </c>
      <c r="R57" s="20" t="n">
        <v>0.81627874</v>
      </c>
    </row>
    <row r="58" spans="1:18">
      <c r="A58" s="15" t="s">
        <v>400</v>
      </c>
      <c r="B58" s="17" t="n">
        <v>3737</v>
      </c>
      <c r="C58" s="18">
        <f>(3119.0/B58*100)</f>
        <v/>
      </c>
      <c r="D58" s="19" t="n">
        <v>618</v>
      </c>
      <c r="E58" s="18" t="n">
        <v>80.09970761</v>
      </c>
      <c r="F58" s="20" t="n">
        <v>1.79423165</v>
      </c>
      <c r="G58" s="18" t="n">
        <v>17.70823221</v>
      </c>
      <c r="H58" s="20" t="n">
        <v>1.63778624</v>
      </c>
      <c r="I58" s="18" t="s">
        <v>349</v>
      </c>
      <c r="J58" s="20" t="s">
        <v>349</v>
      </c>
      <c r="K58" s="18" t="n">
        <v>1.03727104</v>
      </c>
      <c r="L58" s="20" t="n">
        <v>0.44507516</v>
      </c>
      <c r="M58" s="18" t="n">
        <v>0</v>
      </c>
      <c r="N58" s="20" t="n">
        <v>0</v>
      </c>
      <c r="O58" s="18" t="n">
        <v>0</v>
      </c>
      <c r="P58" s="20" t="n">
        <v>0</v>
      </c>
      <c r="Q58" s="18" t="n">
        <v>1.15478915</v>
      </c>
      <c r="R58" s="20" t="n">
        <v>0.47494973</v>
      </c>
    </row>
    <row r="59" spans="1:18">
      <c r="A59" s="15" t="s">
        <v>401</v>
      </c>
      <c r="B59" s="17" t="n">
        <v>2278</v>
      </c>
      <c r="C59" s="18">
        <f>(1902.0/B59*100)</f>
        <v/>
      </c>
      <c r="D59" s="19" t="n">
        <v>376</v>
      </c>
      <c r="E59" s="18" t="n">
        <v>88.1724749</v>
      </c>
      <c r="F59" s="20" t="n">
        <v>1.91134669</v>
      </c>
      <c r="G59" s="18" t="n">
        <v>10.26546302</v>
      </c>
      <c r="H59" s="20" t="n">
        <v>1.85154698</v>
      </c>
      <c r="I59" s="18" t="s">
        <v>349</v>
      </c>
      <c r="J59" s="20" t="s">
        <v>349</v>
      </c>
      <c r="K59" s="18" t="n">
        <v>0.28575772</v>
      </c>
      <c r="L59" s="20" t="n">
        <v>0.21679737</v>
      </c>
      <c r="M59" s="18" t="n">
        <v>0</v>
      </c>
      <c r="N59" s="20" t="n">
        <v>0</v>
      </c>
      <c r="O59" s="18" t="n">
        <v>0</v>
      </c>
      <c r="P59" s="20" t="n">
        <v>0</v>
      </c>
      <c r="Q59" s="18" t="n">
        <v>1.27630435</v>
      </c>
      <c r="R59" s="20" t="n">
        <v>0.60239085</v>
      </c>
    </row>
    <row r="60" spans="1:18">
      <c r="A60" s="15" t="s">
        <v>402</v>
      </c>
      <c r="B60" s="17" t="n">
        <v>2451</v>
      </c>
      <c r="C60" s="18">
        <f>(2041.0/B60*100)</f>
        <v/>
      </c>
      <c r="D60" s="19" t="n">
        <v>410</v>
      </c>
      <c r="E60" s="18" t="n">
        <v>79.13746834</v>
      </c>
      <c r="F60" s="20" t="n">
        <v>2.07594484</v>
      </c>
      <c r="G60" s="18" t="n">
        <v>9.328198710000001</v>
      </c>
      <c r="H60" s="20" t="n">
        <v>1.6145775</v>
      </c>
      <c r="I60" s="18" t="s">
        <v>349</v>
      </c>
      <c r="J60" s="20" t="s">
        <v>349</v>
      </c>
      <c r="K60" s="18" t="n">
        <v>3.72917716</v>
      </c>
      <c r="L60" s="20" t="n">
        <v>1.31303197</v>
      </c>
      <c r="M60" s="18" t="n">
        <v>0</v>
      </c>
      <c r="N60" s="20" t="n">
        <v>0</v>
      </c>
      <c r="O60" s="18" t="n">
        <v>0</v>
      </c>
      <c r="P60" s="20" t="n">
        <v>0</v>
      </c>
      <c r="Q60" s="18" t="n">
        <v>7.80515579</v>
      </c>
      <c r="R60" s="20" t="n">
        <v>1.29543076</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(2094.0/B63*100)</f>
        <v/>
      </c>
      <c r="D63" s="19" t="n">
        <v>417</v>
      </c>
      <c r="E63" s="18" t="n">
        <v>78.35307683000001</v>
      </c>
      <c r="F63" s="20" t="n">
        <v>2.29922623</v>
      </c>
      <c r="G63" s="18" t="n">
        <v>15.18389897</v>
      </c>
      <c r="H63" s="20" t="n">
        <v>1.99859223</v>
      </c>
      <c r="I63" s="18" t="s">
        <v>349</v>
      </c>
      <c r="J63" s="20" t="s">
        <v>349</v>
      </c>
      <c r="K63" s="18" t="n">
        <v>1.74402888</v>
      </c>
      <c r="L63" s="20" t="n">
        <v>0.60898043</v>
      </c>
      <c r="M63" s="18" t="n">
        <v>0</v>
      </c>
      <c r="N63" s="20" t="n">
        <v>0</v>
      </c>
      <c r="O63" s="18" t="n">
        <v>0</v>
      </c>
      <c r="P63" s="20" t="n">
        <v>0</v>
      </c>
      <c r="Q63" s="18" t="n">
        <v>4.71899532</v>
      </c>
      <c r="R63" s="20" t="n">
        <v>1.07237597</v>
      </c>
    </row>
    <row r="64" spans="1:18">
      <c r="A64" s="15" t="s">
        <v>406</v>
      </c>
      <c r="B64" s="17" t="n">
        <v>1790</v>
      </c>
      <c r="C64" s="18">
        <f>(1504.0/B64*100)</f>
        <v/>
      </c>
      <c r="D64" s="19" t="n">
        <v>286</v>
      </c>
      <c r="E64" s="18" t="n">
        <v>58.1750985</v>
      </c>
      <c r="F64" s="20" t="n">
        <v>2.88706504</v>
      </c>
      <c r="G64" s="18" t="n">
        <v>38.51363953</v>
      </c>
      <c r="H64" s="20" t="n">
        <v>2.88041252</v>
      </c>
      <c r="I64" s="18" t="s">
        <v>349</v>
      </c>
      <c r="J64" s="20" t="s">
        <v>349</v>
      </c>
      <c r="K64" s="18" t="n">
        <v>1.72653749</v>
      </c>
      <c r="L64" s="20" t="n">
        <v>0.93802372</v>
      </c>
      <c r="M64" s="18" t="n">
        <v>0</v>
      </c>
      <c r="N64" s="20" t="n">
        <v>0</v>
      </c>
      <c r="O64" s="18" t="n">
        <v>0</v>
      </c>
      <c r="P64" s="20" t="n">
        <v>0</v>
      </c>
      <c r="Q64" s="18" t="n">
        <v>1.58472448</v>
      </c>
      <c r="R64" s="20" t="n">
        <v>0.79272373</v>
      </c>
    </row>
    <row r="65" spans="1:18">
      <c r="A65" s="15" t="s">
        <v>407</v>
      </c>
      <c r="B65" s="17" t="n">
        <v>2634</v>
      </c>
      <c r="C65" s="18">
        <f>(2199.0/B65*100)</f>
        <v/>
      </c>
      <c r="D65" s="19" t="n">
        <v>435</v>
      </c>
      <c r="E65" s="18" t="n">
        <v>79.79489031999999</v>
      </c>
      <c r="F65" s="20" t="n">
        <v>1.99792026</v>
      </c>
      <c r="G65" s="18" t="n">
        <v>12.37378788</v>
      </c>
      <c r="H65" s="20" t="n">
        <v>1.59119159</v>
      </c>
      <c r="I65" s="18" t="s">
        <v>349</v>
      </c>
      <c r="J65" s="20" t="s">
        <v>349</v>
      </c>
      <c r="K65" s="18" t="n">
        <v>5.4573188</v>
      </c>
      <c r="L65" s="20" t="n">
        <v>1.10578826</v>
      </c>
      <c r="M65" s="18" t="n">
        <v>0</v>
      </c>
      <c r="N65" s="20" t="n">
        <v>0</v>
      </c>
      <c r="O65" s="18" t="n">
        <v>0</v>
      </c>
      <c r="P65" s="20" t="n">
        <v>0</v>
      </c>
      <c r="Q65" s="18" t="n">
        <v>2.374003</v>
      </c>
      <c r="R65" s="20" t="n">
        <v>0.7651835</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(2062.0/B69*100)</f>
        <v/>
      </c>
      <c r="D69" s="19" t="n">
        <v>404</v>
      </c>
      <c r="E69" s="18" t="n">
        <v>77.90379752</v>
      </c>
      <c r="F69" s="20" t="n">
        <v>2.23281304</v>
      </c>
      <c r="G69" s="18" t="n">
        <v>22.09620248</v>
      </c>
      <c r="H69" s="20" t="n">
        <v>2.23281304</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(2039.0/B74*100)</f>
        <v/>
      </c>
      <c r="D74" s="19" t="n">
        <v>414</v>
      </c>
      <c r="E74" s="18" t="n">
        <v>78.23658299</v>
      </c>
      <c r="F74" s="20" t="n">
        <v>2.19600394</v>
      </c>
      <c r="G74" s="18" t="n">
        <v>14.96653733</v>
      </c>
      <c r="H74" s="20" t="n">
        <v>1.93992859</v>
      </c>
      <c r="I74" s="18" t="s">
        <v>349</v>
      </c>
      <c r="J74" s="20" t="s">
        <v>349</v>
      </c>
      <c r="K74" s="18" t="n">
        <v>4.16300116</v>
      </c>
      <c r="L74" s="20" t="n">
        <v>1.03667195</v>
      </c>
      <c r="M74" s="18" t="n">
        <v>0</v>
      </c>
      <c r="N74" s="20" t="n">
        <v>0</v>
      </c>
      <c r="O74" s="18" t="n">
        <v>0</v>
      </c>
      <c r="P74" s="20" t="n">
        <v>0</v>
      </c>
      <c r="Q74" s="18" t="n">
        <v>2.63387852</v>
      </c>
      <c r="R74" s="20" t="n">
        <v>0.84322984</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(2530.0/B78*100)</f>
        <v/>
      </c>
      <c r="D78" s="19" t="n">
        <v>510</v>
      </c>
      <c r="E78" s="18" t="n">
        <v>53.17439668</v>
      </c>
      <c r="F78" s="20" t="n">
        <v>2.32991537</v>
      </c>
      <c r="G78" s="18" t="n">
        <v>46.82560332</v>
      </c>
      <c r="H78" s="20" t="n">
        <v>2.32991537</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(720.0/B79*100)</f>
        <v/>
      </c>
      <c r="D79" s="19" t="n">
        <v>150</v>
      </c>
      <c r="E79" s="18" t="n">
        <v>67.38801158</v>
      </c>
      <c r="F79" s="20" t="n">
        <v>3.85196177</v>
      </c>
      <c r="G79" s="18" t="n">
        <v>31.03384776</v>
      </c>
      <c r="H79" s="20" t="n">
        <v>3.77256076</v>
      </c>
      <c r="I79" s="18" t="s">
        <v>349</v>
      </c>
      <c r="J79" s="20" t="s">
        <v>349</v>
      </c>
      <c r="K79" s="18" t="n">
        <v>0.86107099</v>
      </c>
      <c r="L79" s="20" t="n">
        <v>0.65467066</v>
      </c>
      <c r="M79" s="18" t="n">
        <v>0</v>
      </c>
      <c r="N79" s="20" t="n">
        <v>0</v>
      </c>
      <c r="O79" s="18" t="n">
        <v>0</v>
      </c>
      <c r="P79" s="20" t="n">
        <v>0</v>
      </c>
      <c r="Q79" s="18" t="n">
        <v>0.71706967</v>
      </c>
      <c r="R79" s="20" t="n">
        <v>0.50216646</v>
      </c>
    </row>
    <row r="80" spans="1:18">
      <c r="A80" s="15" t="s">
        <v>422</v>
      </c>
      <c r="B80" s="17" t="n">
        <v>4043</v>
      </c>
      <c r="C80" s="18">
        <f>(3356.0/B80*100)</f>
        <v/>
      </c>
      <c r="D80" s="19" t="n">
        <v>687</v>
      </c>
      <c r="E80" s="18" t="n">
        <v>87.03344857</v>
      </c>
      <c r="F80" s="20" t="n">
        <v>1.92315174</v>
      </c>
      <c r="G80" s="18" t="n">
        <v>12.7375812</v>
      </c>
      <c r="H80" s="20" t="n">
        <v>1.91871538</v>
      </c>
      <c r="I80" s="18" t="s">
        <v>349</v>
      </c>
      <c r="J80" s="20" t="s">
        <v>349</v>
      </c>
      <c r="K80" s="18" t="n">
        <v>0</v>
      </c>
      <c r="L80" s="20" t="n">
        <v>0</v>
      </c>
      <c r="M80" s="18" t="n">
        <v>0</v>
      </c>
      <c r="N80" s="20" t="n">
        <v>0</v>
      </c>
      <c r="O80" s="18" t="n">
        <v>0</v>
      </c>
      <c r="P80" s="20" t="n">
        <v>0</v>
      </c>
      <c r="Q80" s="18" t="n">
        <v>0.22897024</v>
      </c>
      <c r="R80" s="20" t="n">
        <v>0.32127686</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(2238.0/B44*100)</f>
        <v/>
      </c>
      <c r="D44" s="19" t="n">
        <v>453</v>
      </c>
      <c r="E44" s="18" t="n">
        <v>70.36269019</v>
      </c>
      <c r="F44" s="20" t="n">
        <v>3.04881536</v>
      </c>
      <c r="G44" s="18" t="n">
        <v>25.78379945</v>
      </c>
      <c r="H44" s="20" t="n">
        <v>2.61770083</v>
      </c>
      <c r="I44" s="18" t="s">
        <v>349</v>
      </c>
      <c r="J44" s="20" t="s">
        <v>349</v>
      </c>
      <c r="K44" s="18" t="n">
        <v>2.10452883</v>
      </c>
      <c r="L44" s="20" t="n">
        <v>0.76144994</v>
      </c>
      <c r="M44" s="18" t="n">
        <v>0</v>
      </c>
      <c r="N44" s="20" t="n">
        <v>0</v>
      </c>
      <c r="O44" s="18" t="n">
        <v>0</v>
      </c>
      <c r="P44" s="20" t="n">
        <v>0</v>
      </c>
      <c r="Q44" s="18" t="n">
        <v>1.74898154</v>
      </c>
      <c r="R44" s="20" t="n">
        <v>0.90821704</v>
      </c>
    </row>
    <row r="45" spans="1:18">
      <c r="A45" s="15" t="s">
        <v>387</v>
      </c>
      <c r="B45" s="17" t="n">
        <v>2670</v>
      </c>
      <c r="C45" s="18">
        <f>(2216.0/B45*100)</f>
        <v/>
      </c>
      <c r="D45" s="19" t="n">
        <v>454</v>
      </c>
      <c r="E45" s="18" t="n">
        <v>72.50447448</v>
      </c>
      <c r="F45" s="20" t="n">
        <v>2.33814031</v>
      </c>
      <c r="G45" s="18" t="n">
        <v>19.14276053</v>
      </c>
      <c r="H45" s="20" t="n">
        <v>1.93519105</v>
      </c>
      <c r="I45" s="18" t="s">
        <v>349</v>
      </c>
      <c r="J45" s="20" t="s">
        <v>349</v>
      </c>
      <c r="K45" s="18" t="n">
        <v>4.46868038</v>
      </c>
      <c r="L45" s="20" t="n">
        <v>1.00828094</v>
      </c>
      <c r="M45" s="18" t="n">
        <v>0</v>
      </c>
      <c r="N45" s="20" t="n">
        <v>0</v>
      </c>
      <c r="O45" s="18" t="n">
        <v>0</v>
      </c>
      <c r="P45" s="20" t="n">
        <v>0</v>
      </c>
      <c r="Q45" s="18" t="n">
        <v>3.8840846</v>
      </c>
      <c r="R45" s="20" t="n">
        <v>0.74049437</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(2777.0/B49*100)</f>
        <v/>
      </c>
      <c r="D49" s="19" t="n">
        <v>554</v>
      </c>
      <c r="E49" s="18" t="n">
        <v>71.73437997000001</v>
      </c>
      <c r="F49" s="20" t="n">
        <v>2.31305785</v>
      </c>
      <c r="G49" s="18" t="n">
        <v>25.70043554</v>
      </c>
      <c r="H49" s="20" t="n">
        <v>2.12979167</v>
      </c>
      <c r="I49" s="18" t="s">
        <v>349</v>
      </c>
      <c r="J49" s="20" t="s">
        <v>349</v>
      </c>
      <c r="K49" s="18" t="n">
        <v>2.16305357</v>
      </c>
      <c r="L49" s="20" t="n">
        <v>0.64039112</v>
      </c>
      <c r="M49" s="18" t="n">
        <v>0</v>
      </c>
      <c r="N49" s="20" t="n">
        <v>0</v>
      </c>
      <c r="O49" s="18" t="n">
        <v>0</v>
      </c>
      <c r="P49" s="20" t="n">
        <v>0</v>
      </c>
      <c r="Q49" s="18" t="n">
        <v>0.40213093</v>
      </c>
      <c r="R49" s="20" t="n">
        <v>0.42009549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(2100.0/B55*100)</f>
        <v/>
      </c>
      <c r="D55" s="19" t="n">
        <v>457</v>
      </c>
      <c r="E55" s="18" t="n">
        <v>67.35738094</v>
      </c>
      <c r="F55" s="20" t="n">
        <v>2.14958633</v>
      </c>
      <c r="G55" s="18" t="n">
        <v>29.35335988</v>
      </c>
      <c r="H55" s="20" t="n">
        <v>2.10817483</v>
      </c>
      <c r="I55" s="18" t="s">
        <v>349</v>
      </c>
      <c r="J55" s="20" t="s">
        <v>349</v>
      </c>
      <c r="K55" s="18" t="n">
        <v>1.50947265</v>
      </c>
      <c r="L55" s="20" t="n">
        <v>0.42666021</v>
      </c>
      <c r="M55" s="18" t="n">
        <v>0</v>
      </c>
      <c r="N55" s="20" t="n">
        <v>0</v>
      </c>
      <c r="O55" s="18" t="n">
        <v>0.19805969</v>
      </c>
      <c r="P55" s="20" t="n">
        <v>0.19746337</v>
      </c>
      <c r="Q55" s="18" t="n">
        <v>1.58172685</v>
      </c>
      <c r="R55" s="20" t="n">
        <v>0.56901195</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(2786.0/B57*100)</f>
        <v/>
      </c>
      <c r="D57" s="19" t="n">
        <v>557</v>
      </c>
      <c r="E57" s="18" t="n">
        <v>81.93349309</v>
      </c>
      <c r="F57" s="20" t="n">
        <v>1.58960356</v>
      </c>
      <c r="G57" s="18" t="n">
        <v>15.98627759</v>
      </c>
      <c r="H57" s="20" t="n">
        <v>1.59729485</v>
      </c>
      <c r="I57" s="18" t="s">
        <v>349</v>
      </c>
      <c r="J57" s="20" t="s">
        <v>349</v>
      </c>
      <c r="K57" s="18" t="n">
        <v>0.85611755</v>
      </c>
      <c r="L57" s="20" t="n">
        <v>0.39292773</v>
      </c>
      <c r="M57" s="18" t="n">
        <v>0</v>
      </c>
      <c r="N57" s="20" t="n">
        <v>0</v>
      </c>
      <c r="O57" s="18" t="n">
        <v>0</v>
      </c>
      <c r="P57" s="20" t="n">
        <v>0</v>
      </c>
      <c r="Q57" s="18" t="n">
        <v>1.22411176</v>
      </c>
      <c r="R57" s="20" t="n">
        <v>0.52859318</v>
      </c>
    </row>
    <row r="58" spans="1:18">
      <c r="A58" s="15" t="s">
        <v>400</v>
      </c>
      <c r="B58" s="17" t="n">
        <v>3737</v>
      </c>
      <c r="C58" s="18">
        <f>(3119.0/B58*100)</f>
        <v/>
      </c>
      <c r="D58" s="19" t="n">
        <v>618</v>
      </c>
      <c r="E58" s="18" t="n">
        <v>74.48108981</v>
      </c>
      <c r="F58" s="20" t="n">
        <v>1.94903373</v>
      </c>
      <c r="G58" s="18" t="n">
        <v>23.33954846</v>
      </c>
      <c r="H58" s="20" t="n">
        <v>1.77617079</v>
      </c>
      <c r="I58" s="18" t="s">
        <v>349</v>
      </c>
      <c r="J58" s="20" t="s">
        <v>349</v>
      </c>
      <c r="K58" s="18" t="n">
        <v>1.27917156</v>
      </c>
      <c r="L58" s="20" t="n">
        <v>0.47710398</v>
      </c>
      <c r="M58" s="18" t="n">
        <v>0</v>
      </c>
      <c r="N58" s="20" t="n">
        <v>0</v>
      </c>
      <c r="O58" s="18" t="n">
        <v>0</v>
      </c>
      <c r="P58" s="20" t="n">
        <v>0</v>
      </c>
      <c r="Q58" s="18" t="n">
        <v>0.90019017</v>
      </c>
      <c r="R58" s="20" t="n">
        <v>0.40979783</v>
      </c>
    </row>
    <row r="59" spans="1:18">
      <c r="A59" s="15" t="s">
        <v>401</v>
      </c>
      <c r="B59" s="17" t="n">
        <v>2278</v>
      </c>
      <c r="C59" s="18">
        <f>(1902.0/B59*100)</f>
        <v/>
      </c>
      <c r="D59" s="19" t="n">
        <v>376</v>
      </c>
      <c r="E59" s="18" t="n">
        <v>81.99538484999999</v>
      </c>
      <c r="F59" s="20" t="n">
        <v>2.46631885</v>
      </c>
      <c r="G59" s="18" t="n">
        <v>16.82154188</v>
      </c>
      <c r="H59" s="20" t="n">
        <v>2.46429074</v>
      </c>
      <c r="I59" s="18" t="s">
        <v>349</v>
      </c>
      <c r="J59" s="20" t="s">
        <v>349</v>
      </c>
      <c r="K59" s="18" t="n">
        <v>0.28575772</v>
      </c>
      <c r="L59" s="20" t="n">
        <v>0.21679737</v>
      </c>
      <c r="M59" s="18" t="n">
        <v>0</v>
      </c>
      <c r="N59" s="20" t="n">
        <v>0</v>
      </c>
      <c r="O59" s="18" t="n">
        <v>0</v>
      </c>
      <c r="P59" s="20" t="n">
        <v>0</v>
      </c>
      <c r="Q59" s="18" t="n">
        <v>0.89731555</v>
      </c>
      <c r="R59" s="20" t="n">
        <v>0.46599439</v>
      </c>
    </row>
    <row r="60" spans="1:18">
      <c r="A60" s="15" t="s">
        <v>402</v>
      </c>
      <c r="B60" s="17" t="n">
        <v>2451</v>
      </c>
      <c r="C60" s="18">
        <f>(2041.0/B60*100)</f>
        <v/>
      </c>
      <c r="D60" s="19" t="n">
        <v>410</v>
      </c>
      <c r="E60" s="18" t="n">
        <v>72.21273634000001</v>
      </c>
      <c r="F60" s="20" t="n">
        <v>2.32610587</v>
      </c>
      <c r="G60" s="18" t="n">
        <v>21.20771977</v>
      </c>
      <c r="H60" s="20" t="n">
        <v>1.87133079</v>
      </c>
      <c r="I60" s="18" t="s">
        <v>349</v>
      </c>
      <c r="J60" s="20" t="s">
        <v>349</v>
      </c>
      <c r="K60" s="18" t="n">
        <v>4.21697313</v>
      </c>
      <c r="L60" s="20" t="n">
        <v>1.43469562</v>
      </c>
      <c r="M60" s="18" t="n">
        <v>0</v>
      </c>
      <c r="N60" s="20" t="n">
        <v>0</v>
      </c>
      <c r="O60" s="18" t="n">
        <v>0</v>
      </c>
      <c r="P60" s="20" t="n">
        <v>0</v>
      </c>
      <c r="Q60" s="18" t="n">
        <v>2.36257077</v>
      </c>
      <c r="R60" s="20" t="n">
        <v>0.93576414</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(2094.0/B63*100)</f>
        <v/>
      </c>
      <c r="D63" s="19" t="n">
        <v>417</v>
      </c>
      <c r="E63" s="18" t="n">
        <v>79.15047208999999</v>
      </c>
      <c r="F63" s="20" t="n">
        <v>2.17000528</v>
      </c>
      <c r="G63" s="18" t="n">
        <v>17.70674103</v>
      </c>
      <c r="H63" s="20" t="n">
        <v>2.14941006</v>
      </c>
      <c r="I63" s="18" t="s">
        <v>349</v>
      </c>
      <c r="J63" s="20" t="s">
        <v>349</v>
      </c>
      <c r="K63" s="18" t="n">
        <v>1.74402888</v>
      </c>
      <c r="L63" s="20" t="n">
        <v>0.60898043</v>
      </c>
      <c r="M63" s="18" t="n">
        <v>0</v>
      </c>
      <c r="N63" s="20" t="n">
        <v>0</v>
      </c>
      <c r="O63" s="18" t="n">
        <v>0</v>
      </c>
      <c r="P63" s="20" t="n">
        <v>0</v>
      </c>
      <c r="Q63" s="18" t="n">
        <v>1.398758</v>
      </c>
      <c r="R63" s="20" t="n">
        <v>0.59282299</v>
      </c>
    </row>
    <row r="64" spans="1:18">
      <c r="A64" s="15" t="s">
        <v>406</v>
      </c>
      <c r="B64" s="17" t="n">
        <v>1790</v>
      </c>
      <c r="C64" s="18">
        <f>(1504.0/B64*100)</f>
        <v/>
      </c>
      <c r="D64" s="19" t="n">
        <v>286</v>
      </c>
      <c r="E64" s="18" t="n">
        <v>49.82088158</v>
      </c>
      <c r="F64" s="20" t="n">
        <v>2.70222784</v>
      </c>
      <c r="G64" s="18" t="n">
        <v>47.98232856</v>
      </c>
      <c r="H64" s="20" t="n">
        <v>2.76209095</v>
      </c>
      <c r="I64" s="18" t="s">
        <v>349</v>
      </c>
      <c r="J64" s="20" t="s">
        <v>349</v>
      </c>
      <c r="K64" s="18" t="n">
        <v>1.72653749</v>
      </c>
      <c r="L64" s="20" t="n">
        <v>0.93802372</v>
      </c>
      <c r="M64" s="18" t="n">
        <v>0</v>
      </c>
      <c r="N64" s="20" t="n">
        <v>0</v>
      </c>
      <c r="O64" s="18" t="n">
        <v>0</v>
      </c>
      <c r="P64" s="20" t="n">
        <v>0</v>
      </c>
      <c r="Q64" s="18" t="n">
        <v>0.47025237</v>
      </c>
      <c r="R64" s="20" t="n">
        <v>0.46557172</v>
      </c>
    </row>
    <row r="65" spans="1:18">
      <c r="A65" s="15" t="s">
        <v>407</v>
      </c>
      <c r="B65" s="17" t="n">
        <v>2634</v>
      </c>
      <c r="C65" s="18">
        <f>(2199.0/B65*100)</f>
        <v/>
      </c>
      <c r="D65" s="19" t="n">
        <v>435</v>
      </c>
      <c r="E65" s="18" t="n">
        <v>67.89804338</v>
      </c>
      <c r="F65" s="20" t="n">
        <v>2.16070583</v>
      </c>
      <c r="G65" s="18" t="n">
        <v>25.22116983</v>
      </c>
      <c r="H65" s="20" t="n">
        <v>2.14688141</v>
      </c>
      <c r="I65" s="18" t="s">
        <v>349</v>
      </c>
      <c r="J65" s="20" t="s">
        <v>349</v>
      </c>
      <c r="K65" s="18" t="n">
        <v>5.82885395</v>
      </c>
      <c r="L65" s="20" t="n">
        <v>1.13666757</v>
      </c>
      <c r="M65" s="18" t="n">
        <v>0</v>
      </c>
      <c r="N65" s="20" t="n">
        <v>0</v>
      </c>
      <c r="O65" s="18" t="n">
        <v>0</v>
      </c>
      <c r="P65" s="20" t="n">
        <v>0</v>
      </c>
      <c r="Q65" s="18" t="n">
        <v>1.05193283</v>
      </c>
      <c r="R65" s="20" t="n">
        <v>0.45535581</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(2062.0/B69*100)</f>
        <v/>
      </c>
      <c r="D69" s="19" t="n">
        <v>404</v>
      </c>
      <c r="E69" s="18" t="n">
        <v>71.88855352</v>
      </c>
      <c r="F69" s="20" t="n">
        <v>2.08378262</v>
      </c>
      <c r="G69" s="18" t="n">
        <v>28.11144648</v>
      </c>
      <c r="H69" s="20" t="n">
        <v>2.08378262</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(2039.0/B74*100)</f>
        <v/>
      </c>
      <c r="D74" s="19" t="n">
        <v>414</v>
      </c>
      <c r="E74" s="18" t="n">
        <v>63.79035466</v>
      </c>
      <c r="F74" s="20" t="n">
        <v>2.25011214</v>
      </c>
      <c r="G74" s="18" t="n">
        <v>31.11176029</v>
      </c>
      <c r="H74" s="20" t="n">
        <v>2.22841852</v>
      </c>
      <c r="I74" s="18" t="s">
        <v>349</v>
      </c>
      <c r="J74" s="20" t="s">
        <v>349</v>
      </c>
      <c r="K74" s="18" t="n">
        <v>4.16300116</v>
      </c>
      <c r="L74" s="20" t="n">
        <v>1.03667195</v>
      </c>
      <c r="M74" s="18" t="n">
        <v>0</v>
      </c>
      <c r="N74" s="20" t="n">
        <v>0</v>
      </c>
      <c r="O74" s="18" t="n">
        <v>0</v>
      </c>
      <c r="P74" s="20" t="n">
        <v>0</v>
      </c>
      <c r="Q74" s="18" t="n">
        <v>0.9348838900000001</v>
      </c>
      <c r="R74" s="20" t="n">
        <v>0.47039936</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(2530.0/B78*100)</f>
        <v/>
      </c>
      <c r="D78" s="19" t="n">
        <v>510</v>
      </c>
      <c r="E78" s="18" t="n">
        <v>26.11452634</v>
      </c>
      <c r="F78" s="20" t="n">
        <v>2.45639926</v>
      </c>
      <c r="G78" s="18" t="n">
        <v>73.88547366</v>
      </c>
      <c r="H78" s="20" t="n">
        <v>2.45639926</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(720.0/B79*100)</f>
        <v/>
      </c>
      <c r="D79" s="19" t="n">
        <v>150</v>
      </c>
      <c r="E79" s="18" t="n">
        <v>67.06020425</v>
      </c>
      <c r="F79" s="20" t="n">
        <v>3.25962457</v>
      </c>
      <c r="G79" s="18" t="n">
        <v>31.24574499</v>
      </c>
      <c r="H79" s="20" t="n">
        <v>3.36475577</v>
      </c>
      <c r="I79" s="18" t="s">
        <v>349</v>
      </c>
      <c r="J79" s="20" t="s">
        <v>349</v>
      </c>
      <c r="K79" s="18" t="n">
        <v>0.86107099</v>
      </c>
      <c r="L79" s="20" t="n">
        <v>0.65467066</v>
      </c>
      <c r="M79" s="18" t="n">
        <v>0</v>
      </c>
      <c r="N79" s="20" t="n">
        <v>0</v>
      </c>
      <c r="O79" s="18" t="n">
        <v>0</v>
      </c>
      <c r="P79" s="20" t="n">
        <v>0</v>
      </c>
      <c r="Q79" s="18" t="n">
        <v>0.83297977</v>
      </c>
      <c r="R79" s="20" t="n">
        <v>0.75116706</v>
      </c>
    </row>
    <row r="80" spans="1:18">
      <c r="A80" s="15" t="s">
        <v>422</v>
      </c>
      <c r="B80" s="17" t="n">
        <v>4043</v>
      </c>
      <c r="C80" s="18">
        <f>(3356.0/B80*100)</f>
        <v/>
      </c>
      <c r="D80" s="19" t="n">
        <v>687</v>
      </c>
      <c r="E80" s="18" t="n">
        <v>62.91815431</v>
      </c>
      <c r="F80" s="20" t="n">
        <v>2.52902462</v>
      </c>
      <c r="G80" s="18" t="n">
        <v>37.08184569</v>
      </c>
      <c r="H80" s="20" t="n">
        <v>2.52902462</v>
      </c>
      <c r="I80" s="18" t="s">
        <v>349</v>
      </c>
      <c r="J80" s="20" t="s">
        <v>349</v>
      </c>
      <c r="K80" s="18" t="n">
        <v>0</v>
      </c>
      <c r="L80" s="20" t="n">
        <v>0</v>
      </c>
      <c r="M80" s="18" t="n">
        <v>0</v>
      </c>
      <c r="N80" s="20" t="n">
        <v>0</v>
      </c>
      <c r="O80" s="18" t="n">
        <v>0</v>
      </c>
      <c r="P80" s="20" t="n">
        <v>0</v>
      </c>
      <c r="Q80" s="18" t="n">
        <v>0</v>
      </c>
      <c r="R80" s="20" t="n">
        <v>0</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(2238.0/B44*100)</f>
        <v/>
      </c>
      <c r="D44" s="19" t="n">
        <v>453</v>
      </c>
      <c r="E44" s="18" t="n">
        <v>34.31849672</v>
      </c>
      <c r="F44" s="20" t="n">
        <v>2.39171216</v>
      </c>
      <c r="G44" s="18" t="n">
        <v>38.0291662</v>
      </c>
      <c r="H44" s="20" t="n">
        <v>2.26998671</v>
      </c>
      <c r="I44" s="18" t="s">
        <v>349</v>
      </c>
      <c r="J44" s="20" t="s">
        <v>349</v>
      </c>
      <c r="K44" s="18" t="n">
        <v>2.68382038</v>
      </c>
      <c r="L44" s="20" t="n">
        <v>0.88168658</v>
      </c>
      <c r="M44" s="18" t="n">
        <v>0</v>
      </c>
      <c r="N44" s="20" t="n">
        <v>0</v>
      </c>
      <c r="O44" s="18" t="n">
        <v>0</v>
      </c>
      <c r="P44" s="20" t="n">
        <v>0</v>
      </c>
      <c r="Q44" s="18" t="n">
        <v>24.96851669</v>
      </c>
      <c r="R44" s="20" t="n">
        <v>2.5103746</v>
      </c>
    </row>
    <row r="45" spans="1:18">
      <c r="A45" s="15" t="s">
        <v>387</v>
      </c>
      <c r="B45" s="17" t="n">
        <v>2670</v>
      </c>
      <c r="C45" s="18">
        <f>(2216.0/B45*100)</f>
        <v/>
      </c>
      <c r="D45" s="19" t="n">
        <v>454</v>
      </c>
      <c r="E45" s="18" t="n">
        <v>64.29920907</v>
      </c>
      <c r="F45" s="20" t="n">
        <v>3.1683178</v>
      </c>
      <c r="G45" s="18" t="n">
        <v>10.69846299</v>
      </c>
      <c r="H45" s="20" t="n">
        <v>2.40401571</v>
      </c>
      <c r="I45" s="18" t="s">
        <v>349</v>
      </c>
      <c r="J45" s="20" t="s">
        <v>349</v>
      </c>
      <c r="K45" s="18" t="n">
        <v>4.89398477</v>
      </c>
      <c r="L45" s="20" t="n">
        <v>0.98377844</v>
      </c>
      <c r="M45" s="18" t="n">
        <v>0</v>
      </c>
      <c r="N45" s="20" t="n">
        <v>0</v>
      </c>
      <c r="O45" s="18" t="n">
        <v>0.59148882</v>
      </c>
      <c r="P45" s="20" t="n">
        <v>0.36638787</v>
      </c>
      <c r="Q45" s="18" t="n">
        <v>19.51685434</v>
      </c>
      <c r="R45" s="20" t="n">
        <v>1.99238038</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(2777.0/B49*100)</f>
        <v/>
      </c>
      <c r="D49" s="19" t="n">
        <v>554</v>
      </c>
      <c r="E49" s="18" t="n">
        <v>41.1814124</v>
      </c>
      <c r="F49" s="20" t="n">
        <v>2.65179817</v>
      </c>
      <c r="G49" s="18" t="n">
        <v>40.63856553</v>
      </c>
      <c r="H49" s="20" t="n">
        <v>2.56253001</v>
      </c>
      <c r="I49" s="18" t="s">
        <v>349</v>
      </c>
      <c r="J49" s="20" t="s">
        <v>349</v>
      </c>
      <c r="K49" s="18" t="n">
        <v>2.64086083</v>
      </c>
      <c r="L49" s="20" t="n">
        <v>0.63736036</v>
      </c>
      <c r="M49" s="18" t="n">
        <v>0</v>
      </c>
      <c r="N49" s="20" t="n">
        <v>0</v>
      </c>
      <c r="O49" s="18" t="n">
        <v>0</v>
      </c>
      <c r="P49" s="20" t="n">
        <v>0</v>
      </c>
      <c r="Q49" s="18" t="n">
        <v>15.53916124</v>
      </c>
      <c r="R49" s="20" t="n">
        <v>1.72170062</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(2100.0/B55*100)</f>
        <v/>
      </c>
      <c r="D55" s="19" t="n">
        <v>457</v>
      </c>
      <c r="E55" s="18" t="n">
        <v>21.1068835</v>
      </c>
      <c r="F55" s="20" t="n">
        <v>1.72827693</v>
      </c>
      <c r="G55" s="18" t="n">
        <v>56.35534242</v>
      </c>
      <c r="H55" s="20" t="n">
        <v>2.41540192</v>
      </c>
      <c r="I55" s="18" t="s">
        <v>349</v>
      </c>
      <c r="J55" s="20" t="s">
        <v>349</v>
      </c>
      <c r="K55" s="18" t="n">
        <v>1.8520642</v>
      </c>
      <c r="L55" s="20" t="n">
        <v>0.476967</v>
      </c>
      <c r="M55" s="18" t="n">
        <v>0</v>
      </c>
      <c r="N55" s="20" t="n">
        <v>0</v>
      </c>
      <c r="O55" s="18" t="n">
        <v>0</v>
      </c>
      <c r="P55" s="20" t="n">
        <v>0</v>
      </c>
      <c r="Q55" s="18" t="n">
        <v>20.68570988</v>
      </c>
      <c r="R55" s="20" t="n">
        <v>1.95439943</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(2786.0/B57*100)</f>
        <v/>
      </c>
      <c r="D57" s="19" t="n">
        <v>557</v>
      </c>
      <c r="E57" s="18" t="n">
        <v>70.70063492</v>
      </c>
      <c r="F57" s="20" t="n">
        <v>2.23921438</v>
      </c>
      <c r="G57" s="18" t="n">
        <v>16.07966685</v>
      </c>
      <c r="H57" s="20" t="n">
        <v>1.85092751</v>
      </c>
      <c r="I57" s="18" t="s">
        <v>349</v>
      </c>
      <c r="J57" s="20" t="s">
        <v>349</v>
      </c>
      <c r="K57" s="18" t="n">
        <v>0.85611755</v>
      </c>
      <c r="L57" s="20" t="n">
        <v>0.39292773</v>
      </c>
      <c r="M57" s="18" t="n">
        <v>0</v>
      </c>
      <c r="N57" s="20" t="n">
        <v>0</v>
      </c>
      <c r="O57" s="18" t="n">
        <v>0</v>
      </c>
      <c r="P57" s="20" t="n">
        <v>0</v>
      </c>
      <c r="Q57" s="18" t="n">
        <v>12.36358068</v>
      </c>
      <c r="R57" s="20" t="n">
        <v>1.68331204</v>
      </c>
    </row>
    <row r="58" spans="1:18">
      <c r="A58" s="15" t="s">
        <v>400</v>
      </c>
      <c r="B58" s="17" t="n">
        <v>3737</v>
      </c>
      <c r="C58" s="18">
        <f>(3119.0/B58*100)</f>
        <v/>
      </c>
      <c r="D58" s="19" t="n">
        <v>618</v>
      </c>
      <c r="E58" s="18" t="n">
        <v>53.18062703</v>
      </c>
      <c r="F58" s="20" t="n">
        <v>2.59143262</v>
      </c>
      <c r="G58" s="18" t="n">
        <v>36.64602564</v>
      </c>
      <c r="H58" s="20" t="n">
        <v>2.48605</v>
      </c>
      <c r="I58" s="18" t="s">
        <v>349</v>
      </c>
      <c r="J58" s="20" t="s">
        <v>349</v>
      </c>
      <c r="K58" s="18" t="n">
        <v>1.95813925</v>
      </c>
      <c r="L58" s="20" t="n">
        <v>0.58226678</v>
      </c>
      <c r="M58" s="18" t="n">
        <v>0</v>
      </c>
      <c r="N58" s="20" t="n">
        <v>0</v>
      </c>
      <c r="O58" s="18" t="n">
        <v>0</v>
      </c>
      <c r="P58" s="20" t="n">
        <v>0</v>
      </c>
      <c r="Q58" s="18" t="n">
        <v>8.215208069999999</v>
      </c>
      <c r="R58" s="20" t="n">
        <v>1.34319188</v>
      </c>
    </row>
    <row r="59" spans="1:18">
      <c r="A59" s="15" t="s">
        <v>401</v>
      </c>
      <c r="B59" s="17" t="n">
        <v>2278</v>
      </c>
      <c r="C59" s="18">
        <f>(1902.0/B59*100)</f>
        <v/>
      </c>
      <c r="D59" s="19" t="n">
        <v>376</v>
      </c>
      <c r="E59" s="18" t="n">
        <v>67.97967084</v>
      </c>
      <c r="F59" s="20" t="n">
        <v>3.13492824</v>
      </c>
      <c r="G59" s="18" t="n">
        <v>12.61395981</v>
      </c>
      <c r="H59" s="20" t="n">
        <v>2.35229479</v>
      </c>
      <c r="I59" s="18" t="s">
        <v>349</v>
      </c>
      <c r="J59" s="20" t="s">
        <v>349</v>
      </c>
      <c r="K59" s="18" t="n">
        <v>0.87332227</v>
      </c>
      <c r="L59" s="20" t="n">
        <v>0.41584866</v>
      </c>
      <c r="M59" s="18" t="n">
        <v>0</v>
      </c>
      <c r="N59" s="20" t="n">
        <v>0</v>
      </c>
      <c r="O59" s="18" t="n">
        <v>0</v>
      </c>
      <c r="P59" s="20" t="n">
        <v>0</v>
      </c>
      <c r="Q59" s="18" t="n">
        <v>18.53304708</v>
      </c>
      <c r="R59" s="20" t="n">
        <v>2.66682405</v>
      </c>
    </row>
    <row r="60" spans="1:18">
      <c r="A60" s="15" t="s">
        <v>402</v>
      </c>
      <c r="B60" s="17" t="n">
        <v>2451</v>
      </c>
      <c r="C60" s="18">
        <f>(2041.0/B60*100)</f>
        <v/>
      </c>
      <c r="D60" s="19" t="n">
        <v>410</v>
      </c>
      <c r="E60" s="18" t="n">
        <v>43.58870783</v>
      </c>
      <c r="F60" s="20" t="n">
        <v>2.90992259</v>
      </c>
      <c r="G60" s="18" t="n">
        <v>25.26224329</v>
      </c>
      <c r="H60" s="20" t="n">
        <v>2.21179724</v>
      </c>
      <c r="I60" s="18" t="s">
        <v>349</v>
      </c>
      <c r="J60" s="20" t="s">
        <v>349</v>
      </c>
      <c r="K60" s="18" t="n">
        <v>5.83790858</v>
      </c>
      <c r="L60" s="20" t="n">
        <v>1.47710081</v>
      </c>
      <c r="M60" s="18" t="n">
        <v>0</v>
      </c>
      <c r="N60" s="20" t="n">
        <v>0</v>
      </c>
      <c r="O60" s="18" t="n">
        <v>0.27983158</v>
      </c>
      <c r="P60" s="20" t="n">
        <v>0.28136719</v>
      </c>
      <c r="Q60" s="18" t="n">
        <v>25.03130872</v>
      </c>
      <c r="R60" s="20" t="n">
        <v>2.82976052</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(2094.0/B63*100)</f>
        <v/>
      </c>
      <c r="D63" s="19" t="n">
        <v>417</v>
      </c>
      <c r="E63" s="18" t="n">
        <v>35.65623721</v>
      </c>
      <c r="F63" s="20" t="n">
        <v>2.56933199</v>
      </c>
      <c r="G63" s="18" t="n">
        <v>22.86334698</v>
      </c>
      <c r="H63" s="20" t="n">
        <v>2.46518133</v>
      </c>
      <c r="I63" s="18" t="s">
        <v>349</v>
      </c>
      <c r="J63" s="20" t="s">
        <v>349</v>
      </c>
      <c r="K63" s="18" t="n">
        <v>2.63172058</v>
      </c>
      <c r="L63" s="20" t="n">
        <v>0.70686366</v>
      </c>
      <c r="M63" s="18" t="n">
        <v>0</v>
      </c>
      <c r="N63" s="20" t="n">
        <v>0</v>
      </c>
      <c r="O63" s="18" t="n">
        <v>0</v>
      </c>
      <c r="P63" s="20" t="n">
        <v>0</v>
      </c>
      <c r="Q63" s="18" t="n">
        <v>38.84869523</v>
      </c>
      <c r="R63" s="20" t="n">
        <v>2.67953587</v>
      </c>
    </row>
    <row r="64" spans="1:18">
      <c r="A64" s="15" t="s">
        <v>406</v>
      </c>
      <c r="B64" s="17" t="n">
        <v>1790</v>
      </c>
      <c r="C64" s="18">
        <f>(1504.0/B64*100)</f>
        <v/>
      </c>
      <c r="D64" s="19" t="n">
        <v>286</v>
      </c>
      <c r="E64" s="18" t="n">
        <v>33.27419788</v>
      </c>
      <c r="F64" s="20" t="n">
        <v>3.00480497</v>
      </c>
      <c r="G64" s="18" t="n">
        <v>55.45615748</v>
      </c>
      <c r="H64" s="20" t="n">
        <v>3.09516613</v>
      </c>
      <c r="I64" s="18" t="s">
        <v>349</v>
      </c>
      <c r="J64" s="20" t="s">
        <v>349</v>
      </c>
      <c r="K64" s="18" t="n">
        <v>1.72653749</v>
      </c>
      <c r="L64" s="20" t="n">
        <v>0.93802372</v>
      </c>
      <c r="M64" s="18" t="n">
        <v>0</v>
      </c>
      <c r="N64" s="20" t="n">
        <v>0</v>
      </c>
      <c r="O64" s="18" t="n">
        <v>0</v>
      </c>
      <c r="P64" s="20" t="n">
        <v>0</v>
      </c>
      <c r="Q64" s="18" t="n">
        <v>9.54310714</v>
      </c>
      <c r="R64" s="20" t="n">
        <v>1.85395749</v>
      </c>
    </row>
    <row r="65" spans="1:18">
      <c r="A65" s="15" t="s">
        <v>407</v>
      </c>
      <c r="B65" s="17" t="n">
        <v>2634</v>
      </c>
      <c r="C65" s="18">
        <f>(2199.0/B65*100)</f>
        <v/>
      </c>
      <c r="D65" s="19" t="n">
        <v>435</v>
      </c>
      <c r="E65" s="18" t="n">
        <v>34.78686635</v>
      </c>
      <c r="F65" s="20" t="n">
        <v>1.93708224</v>
      </c>
      <c r="G65" s="18" t="n">
        <v>40.09930185</v>
      </c>
      <c r="H65" s="20" t="n">
        <v>2.21108303</v>
      </c>
      <c r="I65" s="18" t="s">
        <v>349</v>
      </c>
      <c r="J65" s="20" t="s">
        <v>349</v>
      </c>
      <c r="K65" s="18" t="n">
        <v>6.51942501</v>
      </c>
      <c r="L65" s="20" t="n">
        <v>1.22397835</v>
      </c>
      <c r="M65" s="18" t="n">
        <v>0.66884739</v>
      </c>
      <c r="N65" s="20" t="n">
        <v>0.38277686</v>
      </c>
      <c r="O65" s="18" t="n">
        <v>0</v>
      </c>
      <c r="P65" s="20" t="n">
        <v>0</v>
      </c>
      <c r="Q65" s="18" t="n">
        <v>17.9255594</v>
      </c>
      <c r="R65" s="20" t="n">
        <v>1.82408148</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(2062.0/B69*100)</f>
        <v/>
      </c>
      <c r="D69" s="19" t="n">
        <v>404</v>
      </c>
      <c r="E69" s="18" t="n">
        <v>50.1096858</v>
      </c>
      <c r="F69" s="20" t="n">
        <v>2.80381811</v>
      </c>
      <c r="G69" s="18" t="n">
        <v>49.8903142</v>
      </c>
      <c r="H69" s="20" t="n">
        <v>2.80381811</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(2039.0/B74*100)</f>
        <v/>
      </c>
      <c r="D74" s="19" t="n">
        <v>414</v>
      </c>
      <c r="E74" s="18" t="n">
        <v>31.99828388</v>
      </c>
      <c r="F74" s="20" t="n">
        <v>2.4062346</v>
      </c>
      <c r="G74" s="18" t="n">
        <v>50.68252101</v>
      </c>
      <c r="H74" s="20" t="n">
        <v>2.35835964</v>
      </c>
      <c r="I74" s="18" t="s">
        <v>349</v>
      </c>
      <c r="J74" s="20" t="s">
        <v>349</v>
      </c>
      <c r="K74" s="18" t="n">
        <v>4.25814735</v>
      </c>
      <c r="L74" s="20" t="n">
        <v>1.04197503</v>
      </c>
      <c r="M74" s="18" t="n">
        <v>0</v>
      </c>
      <c r="N74" s="20" t="n">
        <v>0</v>
      </c>
      <c r="O74" s="18" t="n">
        <v>0</v>
      </c>
      <c r="P74" s="20" t="n">
        <v>0</v>
      </c>
      <c r="Q74" s="18" t="n">
        <v>13.06104775</v>
      </c>
      <c r="R74" s="20" t="n">
        <v>1.97209096</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(2530.0/B78*100)</f>
        <v/>
      </c>
      <c r="D78" s="19" t="n">
        <v>510</v>
      </c>
      <c r="E78" s="18" t="n">
        <v>37.97130457</v>
      </c>
      <c r="F78" s="20" t="n">
        <v>2.63338445</v>
      </c>
      <c r="G78" s="18" t="n">
        <v>60.63518296</v>
      </c>
      <c r="H78" s="20" t="n">
        <v>2.5441733</v>
      </c>
      <c r="I78" s="18" t="s">
        <v>349</v>
      </c>
      <c r="J78" s="20" t="s">
        <v>349</v>
      </c>
      <c r="K78" s="18" t="n">
        <v>0</v>
      </c>
      <c r="L78" s="20" t="n">
        <v>0</v>
      </c>
      <c r="M78" s="18" t="n">
        <v>0</v>
      </c>
      <c r="N78" s="20" t="n">
        <v>0</v>
      </c>
      <c r="O78" s="18" t="n">
        <v>0</v>
      </c>
      <c r="P78" s="20" t="n">
        <v>0</v>
      </c>
      <c r="Q78" s="18" t="n">
        <v>1.39351247</v>
      </c>
      <c r="R78" s="20" t="n">
        <v>0.48851171</v>
      </c>
    </row>
    <row customHeight="1" ht="25" r="79" spans="1:18">
      <c r="A79" s="15" t="s">
        <v>421</v>
      </c>
      <c r="B79" s="17" t="n">
        <v>870</v>
      </c>
      <c r="C79" s="18">
        <f>(720.0/B79*100)</f>
        <v/>
      </c>
      <c r="D79" s="19" t="n">
        <v>150</v>
      </c>
      <c r="E79" s="18" t="n">
        <v>31.46729202</v>
      </c>
      <c r="F79" s="20" t="n">
        <v>3.94158213</v>
      </c>
      <c r="G79" s="18" t="n">
        <v>56.70457663</v>
      </c>
      <c r="H79" s="20" t="n">
        <v>4.4870469</v>
      </c>
      <c r="I79" s="18" t="s">
        <v>349</v>
      </c>
      <c r="J79" s="20" t="s">
        <v>349</v>
      </c>
      <c r="K79" s="18" t="n">
        <v>3.93394817</v>
      </c>
      <c r="L79" s="20" t="n">
        <v>1.69776025</v>
      </c>
      <c r="M79" s="18" t="n">
        <v>0</v>
      </c>
      <c r="N79" s="20" t="n">
        <v>0</v>
      </c>
      <c r="O79" s="18" t="n">
        <v>0</v>
      </c>
      <c r="P79" s="20" t="n">
        <v>0</v>
      </c>
      <c r="Q79" s="18" t="n">
        <v>7.89418317</v>
      </c>
      <c r="R79" s="20" t="n">
        <v>2.52393357</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562</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(2238.0/B44*100)</f>
        <v/>
      </c>
      <c r="D44" s="19" t="n">
        <v>453</v>
      </c>
      <c r="E44" s="18" t="n">
        <v>49.45894157</v>
      </c>
      <c r="F44" s="20" t="n">
        <v>2.94131356</v>
      </c>
      <c r="G44" s="18" t="n">
        <v>2.6313541</v>
      </c>
      <c r="H44" s="20" t="n">
        <v>1.60261757</v>
      </c>
      <c r="I44" s="18" t="s">
        <v>349</v>
      </c>
      <c r="J44" s="20" t="s">
        <v>349</v>
      </c>
      <c r="K44" s="18" t="n">
        <v>2.89692504</v>
      </c>
      <c r="L44" s="20" t="n">
        <v>0.85724157</v>
      </c>
      <c r="M44" s="18" t="n">
        <v>0</v>
      </c>
      <c r="N44" s="20" t="n">
        <v>0</v>
      </c>
      <c r="O44" s="18" t="n">
        <v>0</v>
      </c>
      <c r="P44" s="20" t="n">
        <v>0</v>
      </c>
      <c r="Q44" s="18" t="n">
        <v>45.01277929</v>
      </c>
      <c r="R44" s="20" t="n">
        <v>2.66085185</v>
      </c>
    </row>
    <row r="45" spans="1:18">
      <c r="A45" s="15" t="s">
        <v>387</v>
      </c>
      <c r="B45" s="17" t="n">
        <v>2670</v>
      </c>
      <c r="C45" s="18">
        <f>(2216.0/B45*100)</f>
        <v/>
      </c>
      <c r="D45" s="19" t="n">
        <v>454</v>
      </c>
      <c r="E45" s="18" t="n">
        <v>49.84380159</v>
      </c>
      <c r="F45" s="20" t="n">
        <v>2.82923247</v>
      </c>
      <c r="G45" s="18" t="n">
        <v>0.18394038</v>
      </c>
      <c r="H45" s="20" t="n">
        <v>0.18800173</v>
      </c>
      <c r="I45" s="18" t="s">
        <v>349</v>
      </c>
      <c r="J45" s="20" t="s">
        <v>349</v>
      </c>
      <c r="K45" s="18" t="n">
        <v>4.89398477</v>
      </c>
      <c r="L45" s="20" t="n">
        <v>0.98377844</v>
      </c>
      <c r="M45" s="18" t="n">
        <v>0.2411663</v>
      </c>
      <c r="N45" s="20" t="n">
        <v>0.24620166</v>
      </c>
      <c r="O45" s="18" t="n">
        <v>0.43574361</v>
      </c>
      <c r="P45" s="20" t="n">
        <v>0.34473113</v>
      </c>
      <c r="Q45" s="18" t="n">
        <v>44.40136334</v>
      </c>
      <c r="R45" s="20" t="n">
        <v>2.59811606</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(2777.0/B49*100)</f>
        <v/>
      </c>
      <c r="D49" s="19" t="n">
        <v>554</v>
      </c>
      <c r="E49" s="18" t="n">
        <v>42.92269197</v>
      </c>
      <c r="F49" s="20" t="n">
        <v>2.79946923</v>
      </c>
      <c r="G49" s="18" t="n">
        <v>1.08595566</v>
      </c>
      <c r="H49" s="20" t="n">
        <v>0.7759094</v>
      </c>
      <c r="I49" s="18" t="s">
        <v>349</v>
      </c>
      <c r="J49" s="20" t="s">
        <v>349</v>
      </c>
      <c r="K49" s="18" t="n">
        <v>2.75601004</v>
      </c>
      <c r="L49" s="20" t="n">
        <v>0.6411079</v>
      </c>
      <c r="M49" s="18" t="n">
        <v>0</v>
      </c>
      <c r="N49" s="20" t="n">
        <v>0</v>
      </c>
      <c r="O49" s="18" t="n">
        <v>0</v>
      </c>
      <c r="P49" s="20" t="n">
        <v>0</v>
      </c>
      <c r="Q49" s="18" t="n">
        <v>53.23534233</v>
      </c>
      <c r="R49" s="20" t="n">
        <v>2.69600931</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(2100.0/B55*100)</f>
        <v/>
      </c>
      <c r="D55" s="19" t="n">
        <v>457</v>
      </c>
      <c r="E55" s="18" t="n">
        <v>46.87567428</v>
      </c>
      <c r="F55" s="20" t="n">
        <v>2.58074277</v>
      </c>
      <c r="G55" s="18" t="n">
        <v>1.85501875</v>
      </c>
      <c r="H55" s="20" t="n">
        <v>0.57058681</v>
      </c>
      <c r="I55" s="18" t="s">
        <v>349</v>
      </c>
      <c r="J55" s="20" t="s">
        <v>349</v>
      </c>
      <c r="K55" s="18" t="n">
        <v>2.02964898</v>
      </c>
      <c r="L55" s="20" t="n">
        <v>0.41862032</v>
      </c>
      <c r="M55" s="18" t="n">
        <v>0</v>
      </c>
      <c r="N55" s="20" t="n">
        <v>0</v>
      </c>
      <c r="O55" s="18" t="n">
        <v>0</v>
      </c>
      <c r="P55" s="20" t="n">
        <v>0</v>
      </c>
      <c r="Q55" s="18" t="n">
        <v>49.23965799</v>
      </c>
      <c r="R55" s="20" t="n">
        <v>2.5050982</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(2786.0/B57*100)</f>
        <v/>
      </c>
      <c r="D57" s="19" t="n">
        <v>557</v>
      </c>
      <c r="E57" s="18" t="n">
        <v>74.61561415</v>
      </c>
      <c r="F57" s="20" t="n">
        <v>2.20094129</v>
      </c>
      <c r="G57" s="18" t="n">
        <v>0.81389951</v>
      </c>
      <c r="H57" s="20" t="n">
        <v>0.36297323</v>
      </c>
      <c r="I57" s="18" t="s">
        <v>349</v>
      </c>
      <c r="J57" s="20" t="s">
        <v>349</v>
      </c>
      <c r="K57" s="18" t="n">
        <v>0.85611755</v>
      </c>
      <c r="L57" s="20" t="n">
        <v>0.39292773</v>
      </c>
      <c r="M57" s="18" t="n">
        <v>0</v>
      </c>
      <c r="N57" s="20" t="n">
        <v>0</v>
      </c>
      <c r="O57" s="18" t="n">
        <v>0</v>
      </c>
      <c r="P57" s="20" t="n">
        <v>0</v>
      </c>
      <c r="Q57" s="18" t="n">
        <v>23.71436879</v>
      </c>
      <c r="R57" s="20" t="n">
        <v>2.14600479</v>
      </c>
    </row>
    <row r="58" spans="1:18">
      <c r="A58" s="15" t="s">
        <v>400</v>
      </c>
      <c r="B58" s="17" t="n">
        <v>3737</v>
      </c>
      <c r="C58" s="18">
        <f>(3119.0/B58*100)</f>
        <v/>
      </c>
      <c r="D58" s="19" t="n">
        <v>618</v>
      </c>
      <c r="E58" s="18" t="n">
        <v>71.48400219</v>
      </c>
      <c r="F58" s="20" t="n">
        <v>2.4216325</v>
      </c>
      <c r="G58" s="18" t="n">
        <v>0.94775558</v>
      </c>
      <c r="H58" s="20" t="n">
        <v>0.3251895</v>
      </c>
      <c r="I58" s="18" t="s">
        <v>349</v>
      </c>
      <c r="J58" s="20" t="s">
        <v>349</v>
      </c>
      <c r="K58" s="18" t="n">
        <v>2.27652318</v>
      </c>
      <c r="L58" s="20" t="n">
        <v>0.66274396</v>
      </c>
      <c r="M58" s="18" t="n">
        <v>0</v>
      </c>
      <c r="N58" s="20" t="n">
        <v>0</v>
      </c>
      <c r="O58" s="18" t="n">
        <v>0</v>
      </c>
      <c r="P58" s="20" t="n">
        <v>0</v>
      </c>
      <c r="Q58" s="18" t="n">
        <v>25.29171904</v>
      </c>
      <c r="R58" s="20" t="n">
        <v>2.36501772</v>
      </c>
    </row>
    <row r="59" spans="1:18">
      <c r="A59" s="15" t="s">
        <v>401</v>
      </c>
      <c r="B59" s="17" t="n">
        <v>2278</v>
      </c>
      <c r="C59" s="18">
        <f>(1902.0/B59*100)</f>
        <v/>
      </c>
      <c r="D59" s="19" t="n">
        <v>376</v>
      </c>
      <c r="E59" s="18" t="n">
        <v>60.96653647</v>
      </c>
      <c r="F59" s="20" t="n">
        <v>2.90862245</v>
      </c>
      <c r="G59" s="18" t="n">
        <v>0.31096183</v>
      </c>
      <c r="H59" s="20" t="n">
        <v>0.31304716</v>
      </c>
      <c r="I59" s="18" t="s">
        <v>349</v>
      </c>
      <c r="J59" s="20" t="s">
        <v>349</v>
      </c>
      <c r="K59" s="18" t="n">
        <v>0.87332227</v>
      </c>
      <c r="L59" s="20" t="n">
        <v>0.41584866</v>
      </c>
      <c r="M59" s="18" t="n">
        <v>0</v>
      </c>
      <c r="N59" s="20" t="n">
        <v>0</v>
      </c>
      <c r="O59" s="18" t="n">
        <v>0</v>
      </c>
      <c r="P59" s="20" t="n">
        <v>0</v>
      </c>
      <c r="Q59" s="18" t="n">
        <v>37.84917942</v>
      </c>
      <c r="R59" s="20" t="n">
        <v>2.89723665</v>
      </c>
    </row>
    <row r="60" spans="1:18">
      <c r="A60" s="15" t="s">
        <v>402</v>
      </c>
      <c r="B60" s="17" t="n">
        <v>2451</v>
      </c>
      <c r="C60" s="18">
        <f>(2041.0/B60*100)</f>
        <v/>
      </c>
      <c r="D60" s="19" t="n">
        <v>410</v>
      </c>
      <c r="E60" s="18" t="n">
        <v>51.25498503</v>
      </c>
      <c r="F60" s="20" t="n">
        <v>2.65750984</v>
      </c>
      <c r="G60" s="18" t="n">
        <v>2.51544432</v>
      </c>
      <c r="H60" s="20" t="n">
        <v>0.88596155</v>
      </c>
      <c r="I60" s="18" t="s">
        <v>349</v>
      </c>
      <c r="J60" s="20" t="s">
        <v>349</v>
      </c>
      <c r="K60" s="18" t="n">
        <v>6.58067201</v>
      </c>
      <c r="L60" s="20" t="n">
        <v>1.48707977</v>
      </c>
      <c r="M60" s="18" t="n">
        <v>0</v>
      </c>
      <c r="N60" s="20" t="n">
        <v>0</v>
      </c>
      <c r="O60" s="18" t="n">
        <v>0.27983158</v>
      </c>
      <c r="P60" s="20" t="n">
        <v>0.28136719</v>
      </c>
      <c r="Q60" s="18" t="n">
        <v>39.36906706</v>
      </c>
      <c r="R60" s="20" t="n">
        <v>3.0174363</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(2094.0/B63*100)</f>
        <v/>
      </c>
      <c r="D63" s="19" t="n">
        <v>417</v>
      </c>
      <c r="E63" s="18" t="n">
        <v>37.90230719</v>
      </c>
      <c r="F63" s="20" t="n">
        <v>2.78737462</v>
      </c>
      <c r="G63" s="18" t="n">
        <v>1.88494541</v>
      </c>
      <c r="H63" s="20" t="n">
        <v>0.82353593</v>
      </c>
      <c r="I63" s="18" t="s">
        <v>349</v>
      </c>
      <c r="J63" s="20" t="s">
        <v>349</v>
      </c>
      <c r="K63" s="18" t="n">
        <v>2.63172058</v>
      </c>
      <c r="L63" s="20" t="n">
        <v>0.70686366</v>
      </c>
      <c r="M63" s="18" t="n">
        <v>0</v>
      </c>
      <c r="N63" s="20" t="n">
        <v>0</v>
      </c>
      <c r="O63" s="18" t="n">
        <v>0.45777665</v>
      </c>
      <c r="P63" s="20" t="n">
        <v>0.45958927</v>
      </c>
      <c r="Q63" s="18" t="n">
        <v>57.12325018</v>
      </c>
      <c r="R63" s="20" t="n">
        <v>2.75289217</v>
      </c>
    </row>
    <row r="64" spans="1:18">
      <c r="A64" s="15" t="s">
        <v>406</v>
      </c>
      <c r="B64" s="17" t="n">
        <v>1790</v>
      </c>
      <c r="C64" s="18">
        <f>(1504.0/B64*100)</f>
        <v/>
      </c>
      <c r="D64" s="19" t="n">
        <v>286</v>
      </c>
      <c r="E64" s="18" t="n">
        <v>69.7291785</v>
      </c>
      <c r="F64" s="20" t="n">
        <v>2.95266584</v>
      </c>
      <c r="G64" s="18" t="n">
        <v>4.08509231</v>
      </c>
      <c r="H64" s="20" t="n">
        <v>1.20072148</v>
      </c>
      <c r="I64" s="18" t="s">
        <v>349</v>
      </c>
      <c r="J64" s="20" t="s">
        <v>349</v>
      </c>
      <c r="K64" s="18" t="n">
        <v>1.72653749</v>
      </c>
      <c r="L64" s="20" t="n">
        <v>0.93802372</v>
      </c>
      <c r="M64" s="18" t="n">
        <v>0</v>
      </c>
      <c r="N64" s="20" t="n">
        <v>0</v>
      </c>
      <c r="O64" s="18" t="n">
        <v>0</v>
      </c>
      <c r="P64" s="20" t="n">
        <v>0</v>
      </c>
      <c r="Q64" s="18" t="n">
        <v>24.45919169</v>
      </c>
      <c r="R64" s="20" t="n">
        <v>2.56512574</v>
      </c>
    </row>
    <row r="65" spans="1:18">
      <c r="A65" s="15" t="s">
        <v>407</v>
      </c>
      <c r="B65" s="17" t="n">
        <v>2634</v>
      </c>
      <c r="C65" s="18">
        <f>(2199.0/B65*100)</f>
        <v/>
      </c>
      <c r="D65" s="19" t="n">
        <v>435</v>
      </c>
      <c r="E65" s="18" t="n">
        <v>50.83976819</v>
      </c>
      <c r="F65" s="20" t="n">
        <v>2.549109</v>
      </c>
      <c r="G65" s="18" t="n">
        <v>0.71452846</v>
      </c>
      <c r="H65" s="20" t="n">
        <v>0.37831089</v>
      </c>
      <c r="I65" s="18" t="s">
        <v>349</v>
      </c>
      <c r="J65" s="20" t="s">
        <v>349</v>
      </c>
      <c r="K65" s="18" t="n">
        <v>6.9676354</v>
      </c>
      <c r="L65" s="20" t="n">
        <v>1.26330679</v>
      </c>
      <c r="M65" s="18" t="n">
        <v>0.66884739</v>
      </c>
      <c r="N65" s="20" t="n">
        <v>0.38277686</v>
      </c>
      <c r="O65" s="18" t="n">
        <v>0</v>
      </c>
      <c r="P65" s="20" t="n">
        <v>0</v>
      </c>
      <c r="Q65" s="18" t="n">
        <v>40.80922056</v>
      </c>
      <c r="R65" s="20" t="n">
        <v>2.59128278</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(2062.0/B69*100)</f>
        <v/>
      </c>
      <c r="D69" s="19" t="n">
        <v>404</v>
      </c>
      <c r="E69" s="18" t="n">
        <v>93.36663641</v>
      </c>
      <c r="F69" s="20" t="n">
        <v>1.17281724</v>
      </c>
      <c r="G69" s="18" t="n">
        <v>6.37568083</v>
      </c>
      <c r="H69" s="20" t="n">
        <v>1.1407802</v>
      </c>
      <c r="I69" s="18" t="s">
        <v>349</v>
      </c>
      <c r="J69" s="20" t="s">
        <v>349</v>
      </c>
      <c r="K69" s="18" t="n">
        <v>0</v>
      </c>
      <c r="L69" s="20" t="n">
        <v>0</v>
      </c>
      <c r="M69" s="18" t="n">
        <v>0</v>
      </c>
      <c r="N69" s="20" t="n">
        <v>0</v>
      </c>
      <c r="O69" s="18" t="n">
        <v>0</v>
      </c>
      <c r="P69" s="20" t="n">
        <v>0</v>
      </c>
      <c r="Q69" s="18" t="n">
        <v>0.25768277</v>
      </c>
      <c r="R69" s="20" t="n">
        <v>0.25619617</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(2039.0/B74*100)</f>
        <v/>
      </c>
      <c r="D74" s="19" t="n">
        <v>414</v>
      </c>
      <c r="E74" s="18" t="n">
        <v>60.73744043</v>
      </c>
      <c r="F74" s="20" t="n">
        <v>2.4812145</v>
      </c>
      <c r="G74" s="18" t="n">
        <v>1.34641866</v>
      </c>
      <c r="H74" s="20" t="n">
        <v>0.41473509</v>
      </c>
      <c r="I74" s="18" t="s">
        <v>349</v>
      </c>
      <c r="J74" s="20" t="s">
        <v>349</v>
      </c>
      <c r="K74" s="18" t="n">
        <v>4.25814735</v>
      </c>
      <c r="L74" s="20" t="n">
        <v>1.04197503</v>
      </c>
      <c r="M74" s="18" t="n">
        <v>0</v>
      </c>
      <c r="N74" s="20" t="n">
        <v>0</v>
      </c>
      <c r="O74" s="18" t="n">
        <v>0</v>
      </c>
      <c r="P74" s="20" t="n">
        <v>0</v>
      </c>
      <c r="Q74" s="18" t="n">
        <v>33.65799355</v>
      </c>
      <c r="R74" s="20" t="n">
        <v>2.49500895</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(2530.0/B78*100)</f>
        <v/>
      </c>
      <c r="D78" s="19" t="n">
        <v>510</v>
      </c>
      <c r="E78" s="18" t="n">
        <v>83.21358422</v>
      </c>
      <c r="F78" s="20" t="n">
        <v>1.89759761</v>
      </c>
      <c r="G78" s="18" t="n">
        <v>8.9049478</v>
      </c>
      <c r="H78" s="20" t="n">
        <v>1.55201457</v>
      </c>
      <c r="I78" s="18" t="s">
        <v>349</v>
      </c>
      <c r="J78" s="20" t="s">
        <v>349</v>
      </c>
      <c r="K78" s="18" t="n">
        <v>0</v>
      </c>
      <c r="L78" s="20" t="n">
        <v>0</v>
      </c>
      <c r="M78" s="18" t="n">
        <v>0</v>
      </c>
      <c r="N78" s="20" t="n">
        <v>0</v>
      </c>
      <c r="O78" s="18" t="n">
        <v>0</v>
      </c>
      <c r="P78" s="20" t="n">
        <v>0</v>
      </c>
      <c r="Q78" s="18" t="n">
        <v>7.88146798</v>
      </c>
      <c r="R78" s="20" t="n">
        <v>1.22963546</v>
      </c>
    </row>
    <row customHeight="1" ht="25" r="79" spans="1:18">
      <c r="A79" s="15" t="s">
        <v>421</v>
      </c>
      <c r="B79" s="17" t="n">
        <v>870</v>
      </c>
      <c r="C79" s="18">
        <f>(720.0/B79*100)</f>
        <v/>
      </c>
      <c r="D79" s="19" t="n">
        <v>150</v>
      </c>
      <c r="E79" s="18" t="n">
        <v>52.83349523</v>
      </c>
      <c r="F79" s="20" t="n">
        <v>3.78089357</v>
      </c>
      <c r="G79" s="18" t="n">
        <v>0</v>
      </c>
      <c r="H79" s="20" t="n">
        <v>0</v>
      </c>
      <c r="I79" s="18" t="s">
        <v>349</v>
      </c>
      <c r="J79" s="20" t="s">
        <v>349</v>
      </c>
      <c r="K79" s="18" t="n">
        <v>5.27951944</v>
      </c>
      <c r="L79" s="20" t="n">
        <v>1.87456704</v>
      </c>
      <c r="M79" s="18" t="n">
        <v>0</v>
      </c>
      <c r="N79" s="20" t="n">
        <v>0</v>
      </c>
      <c r="O79" s="18" t="n">
        <v>0</v>
      </c>
      <c r="P79" s="20" t="n">
        <v>0</v>
      </c>
      <c r="Q79" s="18" t="n">
        <v>41.88698533</v>
      </c>
      <c r="R79" s="20" t="n">
        <v>4.06712787</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(2238.0/B44*100)</f>
        <v/>
      </c>
      <c r="D44" s="19" t="n">
        <v>453</v>
      </c>
      <c r="E44" s="18" t="n">
        <v>43.76738405</v>
      </c>
      <c r="F44" s="20" t="n">
        <v>2.23333251</v>
      </c>
      <c r="G44" s="18" t="n">
        <v>46.11768392</v>
      </c>
      <c r="H44" s="20" t="n">
        <v>2.1983544</v>
      </c>
      <c r="I44" s="18" t="s">
        <v>349</v>
      </c>
      <c r="J44" s="20" t="s">
        <v>349</v>
      </c>
      <c r="K44" s="18" t="n">
        <v>2.89692504</v>
      </c>
      <c r="L44" s="20" t="n">
        <v>0.85724157</v>
      </c>
      <c r="M44" s="18" t="n">
        <v>0</v>
      </c>
      <c r="N44" s="20" t="n">
        <v>0</v>
      </c>
      <c r="O44" s="18" t="n">
        <v>2.28785332</v>
      </c>
      <c r="P44" s="20" t="n">
        <v>0.71367554</v>
      </c>
      <c r="Q44" s="18" t="n">
        <v>4.93015367</v>
      </c>
      <c r="R44" s="20" t="n">
        <v>1.36525729</v>
      </c>
    </row>
    <row r="45" spans="1:18">
      <c r="A45" s="15" t="s">
        <v>387</v>
      </c>
      <c r="B45" s="17" t="n">
        <v>2670</v>
      </c>
      <c r="C45" s="18">
        <f>(2216.0/B45*100)</f>
        <v/>
      </c>
      <c r="D45" s="19" t="n">
        <v>454</v>
      </c>
      <c r="E45" s="18" t="n">
        <v>40.55059966</v>
      </c>
      <c r="F45" s="20" t="n">
        <v>2.29557489</v>
      </c>
      <c r="G45" s="18" t="n">
        <v>43.70581166</v>
      </c>
      <c r="H45" s="20" t="n">
        <v>2.57066958</v>
      </c>
      <c r="I45" s="18" t="s">
        <v>349</v>
      </c>
      <c r="J45" s="20" t="s">
        <v>349</v>
      </c>
      <c r="K45" s="18" t="n">
        <v>5.25865877</v>
      </c>
      <c r="L45" s="20" t="n">
        <v>0.98001448</v>
      </c>
      <c r="M45" s="18" t="n">
        <v>0</v>
      </c>
      <c r="N45" s="20" t="n">
        <v>0</v>
      </c>
      <c r="O45" s="18" t="n">
        <v>3.30658556</v>
      </c>
      <c r="P45" s="20" t="n">
        <v>0.86220008</v>
      </c>
      <c r="Q45" s="18" t="n">
        <v>7.17834435</v>
      </c>
      <c r="R45" s="20" t="n">
        <v>1.40956894</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(2777.0/B49*100)</f>
        <v/>
      </c>
      <c r="D49" s="19" t="n">
        <v>554</v>
      </c>
      <c r="E49" s="18" t="n">
        <v>43.85817885</v>
      </c>
      <c r="F49" s="20" t="n">
        <v>2.02983572</v>
      </c>
      <c r="G49" s="18" t="n">
        <v>50.304006</v>
      </c>
      <c r="H49" s="20" t="n">
        <v>2.07126924</v>
      </c>
      <c r="I49" s="18" t="s">
        <v>349</v>
      </c>
      <c r="J49" s="20" t="s">
        <v>349</v>
      </c>
      <c r="K49" s="18" t="n">
        <v>3.08685752</v>
      </c>
      <c r="L49" s="20" t="n">
        <v>0.77316954</v>
      </c>
      <c r="M49" s="18" t="n">
        <v>0</v>
      </c>
      <c r="N49" s="20" t="n">
        <v>0</v>
      </c>
      <c r="O49" s="18" t="n">
        <v>0.60064615</v>
      </c>
      <c r="P49" s="20" t="n">
        <v>0.27739518</v>
      </c>
      <c r="Q49" s="18" t="n">
        <v>2.15031148</v>
      </c>
      <c r="R49" s="20" t="n">
        <v>0.67338398</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(2100.0/B55*100)</f>
        <v/>
      </c>
      <c r="D55" s="19" t="n">
        <v>457</v>
      </c>
      <c r="E55" s="18" t="n">
        <v>52.22510995</v>
      </c>
      <c r="F55" s="20" t="n">
        <v>2.8118271</v>
      </c>
      <c r="G55" s="18" t="n">
        <v>42.05860467</v>
      </c>
      <c r="H55" s="20" t="n">
        <v>2.62644276</v>
      </c>
      <c r="I55" s="18" t="s">
        <v>349</v>
      </c>
      <c r="J55" s="20" t="s">
        <v>349</v>
      </c>
      <c r="K55" s="18" t="n">
        <v>2.02964898</v>
      </c>
      <c r="L55" s="20" t="n">
        <v>0.41862032</v>
      </c>
      <c r="M55" s="18" t="n">
        <v>0</v>
      </c>
      <c r="N55" s="20" t="n">
        <v>0</v>
      </c>
      <c r="O55" s="18" t="n">
        <v>0.93456765</v>
      </c>
      <c r="P55" s="20" t="n">
        <v>0.42769336</v>
      </c>
      <c r="Q55" s="18" t="n">
        <v>2.75206874</v>
      </c>
      <c r="R55" s="20" t="n">
        <v>0.77480637</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(2786.0/B57*100)</f>
        <v/>
      </c>
      <c r="D57" s="19" t="n">
        <v>557</v>
      </c>
      <c r="E57" s="18" t="n">
        <v>56.01912856</v>
      </c>
      <c r="F57" s="20" t="n">
        <v>2.44595127</v>
      </c>
      <c r="G57" s="18" t="n">
        <v>42.1265181</v>
      </c>
      <c r="H57" s="20" t="n">
        <v>2.438159</v>
      </c>
      <c r="I57" s="18" t="s">
        <v>349</v>
      </c>
      <c r="J57" s="20" t="s">
        <v>349</v>
      </c>
      <c r="K57" s="18" t="n">
        <v>0.94094511</v>
      </c>
      <c r="L57" s="20" t="n">
        <v>0.43463774</v>
      </c>
      <c r="M57" s="18" t="n">
        <v>0</v>
      </c>
      <c r="N57" s="20" t="n">
        <v>0</v>
      </c>
      <c r="O57" s="18" t="n">
        <v>0</v>
      </c>
      <c r="P57" s="20" t="n">
        <v>0</v>
      </c>
      <c r="Q57" s="18" t="n">
        <v>0.91340823</v>
      </c>
      <c r="R57" s="20" t="n">
        <v>0.36520403</v>
      </c>
    </row>
    <row r="58" spans="1:18">
      <c r="A58" s="15" t="s">
        <v>400</v>
      </c>
      <c r="B58" s="17" t="n">
        <v>3737</v>
      </c>
      <c r="C58" s="18">
        <f>(3119.0/B58*100)</f>
        <v/>
      </c>
      <c r="D58" s="19" t="n">
        <v>618</v>
      </c>
      <c r="E58" s="18" t="n">
        <v>48.21857479</v>
      </c>
      <c r="F58" s="20" t="n">
        <v>2.4664491</v>
      </c>
      <c r="G58" s="18" t="n">
        <v>44.79879547</v>
      </c>
      <c r="H58" s="20" t="n">
        <v>2.18289827</v>
      </c>
      <c r="I58" s="18" t="s">
        <v>349</v>
      </c>
      <c r="J58" s="20" t="s">
        <v>349</v>
      </c>
      <c r="K58" s="18" t="n">
        <v>2.27652318</v>
      </c>
      <c r="L58" s="20" t="n">
        <v>0.66274396</v>
      </c>
      <c r="M58" s="18" t="n">
        <v>0</v>
      </c>
      <c r="N58" s="20" t="n">
        <v>0</v>
      </c>
      <c r="O58" s="18" t="n">
        <v>0.97879867</v>
      </c>
      <c r="P58" s="20" t="n">
        <v>0.47160444</v>
      </c>
      <c r="Q58" s="18" t="n">
        <v>3.72730788</v>
      </c>
      <c r="R58" s="20" t="n">
        <v>1.08344343</v>
      </c>
    </row>
    <row r="59" spans="1:18">
      <c r="A59" s="15" t="s">
        <v>401</v>
      </c>
      <c r="B59" s="17" t="n">
        <v>2278</v>
      </c>
      <c r="C59" s="18">
        <f>(1902.0/B59*100)</f>
        <v/>
      </c>
      <c r="D59" s="19" t="n">
        <v>376</v>
      </c>
      <c r="E59" s="18" t="n">
        <v>0</v>
      </c>
      <c r="F59" s="20" t="n">
        <v>0</v>
      </c>
      <c r="G59" s="18" t="n">
        <v>0</v>
      </c>
      <c r="H59" s="20" t="n">
        <v>0</v>
      </c>
      <c r="I59" s="18" t="s">
        <v>349</v>
      </c>
      <c r="J59" s="20" t="s">
        <v>349</v>
      </c>
      <c r="K59" s="18" t="n">
        <v>0</v>
      </c>
      <c r="L59" s="20" t="n">
        <v>0</v>
      </c>
      <c r="M59" s="18" t="n">
        <v>100</v>
      </c>
      <c r="N59" s="20" t="n">
        <v>0</v>
      </c>
      <c r="O59" s="18" t="n">
        <v>0</v>
      </c>
      <c r="P59" s="20" t="n">
        <v>0</v>
      </c>
      <c r="Q59" s="18" t="n">
        <v>0</v>
      </c>
      <c r="R59" s="20" t="n">
        <v>0</v>
      </c>
    </row>
    <row r="60" spans="1:18">
      <c r="A60" s="15" t="s">
        <v>402</v>
      </c>
      <c r="B60" s="17" t="n">
        <v>2451</v>
      </c>
      <c r="C60" s="18">
        <f>(2041.0/B60*100)</f>
        <v/>
      </c>
      <c r="D60" s="19" t="n">
        <v>410</v>
      </c>
      <c r="E60" s="18" t="n">
        <v>42.40869163</v>
      </c>
      <c r="F60" s="20" t="n">
        <v>3.20586126</v>
      </c>
      <c r="G60" s="18" t="n">
        <v>39.1002754</v>
      </c>
      <c r="H60" s="20" t="n">
        <v>2.81410314</v>
      </c>
      <c r="I60" s="18" t="s">
        <v>349</v>
      </c>
      <c r="J60" s="20" t="s">
        <v>349</v>
      </c>
      <c r="K60" s="18" t="n">
        <v>6.82744504</v>
      </c>
      <c r="L60" s="20" t="n">
        <v>1.46079782</v>
      </c>
      <c r="M60" s="18" t="n">
        <v>0</v>
      </c>
      <c r="N60" s="20" t="n">
        <v>0</v>
      </c>
      <c r="O60" s="18" t="n">
        <v>2.41457178</v>
      </c>
      <c r="P60" s="20" t="n">
        <v>0.96043729</v>
      </c>
      <c r="Q60" s="18" t="n">
        <v>9.24901614</v>
      </c>
      <c r="R60" s="20" t="n">
        <v>1.41778572</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(2094.0/B63*100)</f>
        <v/>
      </c>
      <c r="D63" s="19" t="n">
        <v>417</v>
      </c>
      <c r="E63" s="18" t="n">
        <v>43.85272724</v>
      </c>
      <c r="F63" s="20" t="n">
        <v>2.90909675</v>
      </c>
      <c r="G63" s="18" t="n">
        <v>45.20936661</v>
      </c>
      <c r="H63" s="20" t="n">
        <v>2.92479048</v>
      </c>
      <c r="I63" s="18" t="s">
        <v>349</v>
      </c>
      <c r="J63" s="20" t="s">
        <v>349</v>
      </c>
      <c r="K63" s="18" t="n">
        <v>2.63172058</v>
      </c>
      <c r="L63" s="20" t="n">
        <v>0.70686366</v>
      </c>
      <c r="M63" s="18" t="n">
        <v>0</v>
      </c>
      <c r="N63" s="20" t="n">
        <v>0</v>
      </c>
      <c r="O63" s="18" t="n">
        <v>1.15218487</v>
      </c>
      <c r="P63" s="20" t="n">
        <v>0.63311178</v>
      </c>
      <c r="Q63" s="18" t="n">
        <v>7.15400069</v>
      </c>
      <c r="R63" s="20" t="n">
        <v>1.30087189</v>
      </c>
    </row>
    <row r="64" spans="1:18">
      <c r="A64" s="15" t="s">
        <v>406</v>
      </c>
      <c r="B64" s="17" t="n">
        <v>1790</v>
      </c>
      <c r="C64" s="18">
        <f>(1504.0/B64*100)</f>
        <v/>
      </c>
      <c r="D64" s="19" t="n">
        <v>286</v>
      </c>
      <c r="E64" s="18" t="n">
        <v>39.18345884</v>
      </c>
      <c r="F64" s="20" t="n">
        <v>2.74286055</v>
      </c>
      <c r="G64" s="18" t="n">
        <v>55.33562161</v>
      </c>
      <c r="H64" s="20" t="n">
        <v>2.93082418</v>
      </c>
      <c r="I64" s="18" t="s">
        <v>349</v>
      </c>
      <c r="J64" s="20" t="s">
        <v>349</v>
      </c>
      <c r="K64" s="18" t="n">
        <v>1.72653749</v>
      </c>
      <c r="L64" s="20" t="n">
        <v>0.93802372</v>
      </c>
      <c r="M64" s="18" t="n">
        <v>0</v>
      </c>
      <c r="N64" s="20" t="n">
        <v>0</v>
      </c>
      <c r="O64" s="18" t="n">
        <v>1.07793899</v>
      </c>
      <c r="P64" s="20" t="n">
        <v>0.62237399</v>
      </c>
      <c r="Q64" s="18" t="n">
        <v>2.67644306</v>
      </c>
      <c r="R64" s="20" t="n">
        <v>1.02585487</v>
      </c>
    </row>
    <row r="65" spans="1:18">
      <c r="A65" s="15" t="s">
        <v>407</v>
      </c>
      <c r="B65" s="17" t="n">
        <v>2634</v>
      </c>
      <c r="C65" s="18">
        <f>(2199.0/B65*100)</f>
        <v/>
      </c>
      <c r="D65" s="19" t="n">
        <v>435</v>
      </c>
      <c r="E65" s="18" t="n">
        <v>41.62990838</v>
      </c>
      <c r="F65" s="20" t="n">
        <v>2.12189398</v>
      </c>
      <c r="G65" s="18" t="n">
        <v>43.97267377</v>
      </c>
      <c r="H65" s="20" t="n">
        <v>2.42698641</v>
      </c>
      <c r="I65" s="18" t="s">
        <v>349</v>
      </c>
      <c r="J65" s="20" t="s">
        <v>349</v>
      </c>
      <c r="K65" s="18" t="n">
        <v>6.9676354</v>
      </c>
      <c r="L65" s="20" t="n">
        <v>1.26330679</v>
      </c>
      <c r="M65" s="18" t="n">
        <v>1.01056456</v>
      </c>
      <c r="N65" s="20" t="n">
        <v>0.45799153</v>
      </c>
      <c r="O65" s="18" t="n">
        <v>0.21946911</v>
      </c>
      <c r="P65" s="20" t="n">
        <v>0.21750127</v>
      </c>
      <c r="Q65" s="18" t="n">
        <v>6.19974877</v>
      </c>
      <c r="R65" s="20" t="n">
        <v>1.15686426</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(2062.0/B69*100)</f>
        <v/>
      </c>
      <c r="D69" s="19" t="n">
        <v>404</v>
      </c>
      <c r="E69" s="18" t="n">
        <v>52.4500827</v>
      </c>
      <c r="F69" s="20" t="n">
        <v>2.60112569</v>
      </c>
      <c r="G69" s="18" t="n">
        <v>47.5499173</v>
      </c>
      <c r="H69" s="20" t="n">
        <v>2.60112569</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(2039.0/B74*100)</f>
        <v/>
      </c>
      <c r="D74" s="19" t="n">
        <v>414</v>
      </c>
      <c r="E74" s="18" t="n">
        <v>52.54370645</v>
      </c>
      <c r="F74" s="20" t="n">
        <v>2.48791971</v>
      </c>
      <c r="G74" s="18" t="n">
        <v>40.15062664</v>
      </c>
      <c r="H74" s="20" t="n">
        <v>2.3628808</v>
      </c>
      <c r="I74" s="18" t="s">
        <v>349</v>
      </c>
      <c r="J74" s="20" t="s">
        <v>349</v>
      </c>
      <c r="K74" s="18" t="n">
        <v>4.25814735</v>
      </c>
      <c r="L74" s="20" t="n">
        <v>1.04197503</v>
      </c>
      <c r="M74" s="18" t="n">
        <v>0</v>
      </c>
      <c r="N74" s="20" t="n">
        <v>0</v>
      </c>
      <c r="O74" s="18" t="n">
        <v>0.13535176</v>
      </c>
      <c r="P74" s="20" t="n">
        <v>0.13595427</v>
      </c>
      <c r="Q74" s="18" t="n">
        <v>2.9121678</v>
      </c>
      <c r="R74" s="20" t="n">
        <v>0.85757335</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(2530.0/B78*100)</f>
        <v/>
      </c>
      <c r="D78" s="19" t="n">
        <v>510</v>
      </c>
      <c r="E78" s="18" t="n">
        <v>22.24190324</v>
      </c>
      <c r="F78" s="20" t="n">
        <v>1.8202937</v>
      </c>
      <c r="G78" s="18" t="n">
        <v>77.75809676</v>
      </c>
      <c r="H78" s="20" t="n">
        <v>1.8202937</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(720.0/B79*100)</f>
        <v/>
      </c>
      <c r="D79" s="19" t="n">
        <v>150</v>
      </c>
      <c r="E79" s="18" t="n">
        <v>37.98280763</v>
      </c>
      <c r="F79" s="20" t="n">
        <v>4.27865428</v>
      </c>
      <c r="G79" s="18" t="n">
        <v>51.34662682</v>
      </c>
      <c r="H79" s="20" t="n">
        <v>4.9017554</v>
      </c>
      <c r="I79" s="18" t="s">
        <v>349</v>
      </c>
      <c r="J79" s="20" t="s">
        <v>349</v>
      </c>
      <c r="K79" s="18" t="n">
        <v>5.27951944</v>
      </c>
      <c r="L79" s="20" t="n">
        <v>1.87456704</v>
      </c>
      <c r="M79" s="18" t="n">
        <v>0</v>
      </c>
      <c r="N79" s="20" t="n">
        <v>0</v>
      </c>
      <c r="O79" s="18" t="n">
        <v>2.09983873</v>
      </c>
      <c r="P79" s="20" t="n">
        <v>1.35512729</v>
      </c>
      <c r="Q79" s="18" t="n">
        <v>3.29120738</v>
      </c>
      <c r="R79" s="20" t="n">
        <v>1.15584271</v>
      </c>
    </row>
    <row r="80" spans="1:18">
      <c r="A80" s="15" t="s">
        <v>422</v>
      </c>
      <c r="B80" s="17" t="n">
        <v>4043</v>
      </c>
      <c r="C80" s="18">
        <f>(3356.0/B80*100)</f>
        <v/>
      </c>
      <c r="D80" s="19" t="n">
        <v>687</v>
      </c>
      <c r="E80" s="18" t="n">
        <v>44.239242</v>
      </c>
      <c r="F80" s="20" t="n">
        <v>2.5865926</v>
      </c>
      <c r="G80" s="18" t="n">
        <v>55.53178777</v>
      </c>
      <c r="H80" s="20" t="n">
        <v>2.54262065</v>
      </c>
      <c r="I80" s="18" t="s">
        <v>349</v>
      </c>
      <c r="J80" s="20" t="s">
        <v>349</v>
      </c>
      <c r="K80" s="18" t="n">
        <v>0</v>
      </c>
      <c r="L80" s="20" t="n">
        <v>0</v>
      </c>
      <c r="M80" s="18" t="n">
        <v>0</v>
      </c>
      <c r="N80" s="20" t="n">
        <v>0</v>
      </c>
      <c r="O80" s="18" t="n">
        <v>0</v>
      </c>
      <c r="P80" s="20" t="n">
        <v>0</v>
      </c>
      <c r="Q80" s="18" t="n">
        <v>0.22897024</v>
      </c>
      <c r="R80" s="20" t="n">
        <v>0.32127686</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(2238.0/B44*100)</f>
        <v/>
      </c>
      <c r="D44" s="19" t="n">
        <v>453</v>
      </c>
      <c r="E44" s="18" t="n">
        <v>20.42277</v>
      </c>
      <c r="F44" s="20" t="n">
        <v>2.4932221</v>
      </c>
      <c r="G44" s="18" t="n">
        <v>23.21752244</v>
      </c>
      <c r="H44" s="20" t="n">
        <v>2.47116138</v>
      </c>
      <c r="I44" s="18" t="s">
        <v>349</v>
      </c>
      <c r="J44" s="20" t="s">
        <v>349</v>
      </c>
      <c r="K44" s="18" t="n">
        <v>4.80497715</v>
      </c>
      <c r="L44" s="20" t="n">
        <v>1.19048611</v>
      </c>
      <c r="M44" s="18" t="n">
        <v>0</v>
      </c>
      <c r="N44" s="20" t="n">
        <v>0</v>
      </c>
      <c r="O44" s="18" t="n">
        <v>0</v>
      </c>
      <c r="P44" s="20" t="n">
        <v>0</v>
      </c>
      <c r="Q44" s="18" t="n">
        <v>51.5547304</v>
      </c>
      <c r="R44" s="20" t="n">
        <v>3.03347378</v>
      </c>
    </row>
    <row r="45" spans="1:18">
      <c r="A45" s="15" t="s">
        <v>387</v>
      </c>
      <c r="B45" s="17" t="n">
        <v>2670</v>
      </c>
      <c r="C45" s="18">
        <f>(2216.0/B45*100)</f>
        <v/>
      </c>
      <c r="D45" s="19" t="n">
        <v>454</v>
      </c>
      <c r="E45" s="18" t="n">
        <v>23.8728908</v>
      </c>
      <c r="F45" s="20" t="n">
        <v>1.97461534</v>
      </c>
      <c r="G45" s="18" t="n">
        <v>5.95046712</v>
      </c>
      <c r="H45" s="20" t="n">
        <v>1.47022907</v>
      </c>
      <c r="I45" s="18" t="s">
        <v>349</v>
      </c>
      <c r="J45" s="20" t="s">
        <v>349</v>
      </c>
      <c r="K45" s="18" t="n">
        <v>7.25192187</v>
      </c>
      <c r="L45" s="20" t="n">
        <v>1.34248198</v>
      </c>
      <c r="M45" s="18" t="n">
        <v>0</v>
      </c>
      <c r="N45" s="20" t="n">
        <v>0</v>
      </c>
      <c r="O45" s="18" t="n">
        <v>0</v>
      </c>
      <c r="P45" s="20" t="n">
        <v>0</v>
      </c>
      <c r="Q45" s="18" t="n">
        <v>62.9247202</v>
      </c>
      <c r="R45" s="20" t="n">
        <v>2.26937849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(2777.0/B49*100)</f>
        <v/>
      </c>
      <c r="D49" s="19" t="n">
        <v>554</v>
      </c>
      <c r="E49" s="18" t="n">
        <v>38.28082458</v>
      </c>
      <c r="F49" s="20" t="n">
        <v>2.49032231</v>
      </c>
      <c r="G49" s="18" t="n">
        <v>10.61503361</v>
      </c>
      <c r="H49" s="20" t="n">
        <v>1.21739661</v>
      </c>
      <c r="I49" s="18" t="s">
        <v>349</v>
      </c>
      <c r="J49" s="20" t="s">
        <v>349</v>
      </c>
      <c r="K49" s="18" t="n">
        <v>3.4236476</v>
      </c>
      <c r="L49" s="20" t="n">
        <v>0.79747923</v>
      </c>
      <c r="M49" s="18" t="n">
        <v>0</v>
      </c>
      <c r="N49" s="20" t="n">
        <v>0</v>
      </c>
      <c r="O49" s="18" t="n">
        <v>0</v>
      </c>
      <c r="P49" s="20" t="n">
        <v>0</v>
      </c>
      <c r="Q49" s="18" t="n">
        <v>47.68049422</v>
      </c>
      <c r="R49" s="20" t="n">
        <v>2.3796183</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(2100.0/B55*100)</f>
        <v/>
      </c>
      <c r="D55" s="19" t="n">
        <v>457</v>
      </c>
      <c r="E55" s="18" t="n">
        <v>36.99008074</v>
      </c>
      <c r="F55" s="20" t="n">
        <v>2.3571042</v>
      </c>
      <c r="G55" s="18" t="n">
        <v>20.6837861</v>
      </c>
      <c r="H55" s="20" t="n">
        <v>1.90569621</v>
      </c>
      <c r="I55" s="18" t="s">
        <v>349</v>
      </c>
      <c r="J55" s="20" t="s">
        <v>349</v>
      </c>
      <c r="K55" s="18" t="n">
        <v>2.77263477</v>
      </c>
      <c r="L55" s="20" t="n">
        <v>0.56197973</v>
      </c>
      <c r="M55" s="18" t="n">
        <v>0</v>
      </c>
      <c r="N55" s="20" t="n">
        <v>0</v>
      </c>
      <c r="O55" s="18" t="n">
        <v>0</v>
      </c>
      <c r="P55" s="20" t="n">
        <v>0</v>
      </c>
      <c r="Q55" s="18" t="n">
        <v>39.55349839</v>
      </c>
      <c r="R55" s="20" t="n">
        <v>2.74034823</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(2786.0/B57*100)</f>
        <v/>
      </c>
      <c r="D57" s="19" t="n">
        <v>557</v>
      </c>
      <c r="E57" s="18" t="n">
        <v>65.65989892</v>
      </c>
      <c r="F57" s="20" t="n">
        <v>2.19379535</v>
      </c>
      <c r="G57" s="18" t="n">
        <v>5.26719843</v>
      </c>
      <c r="H57" s="20" t="n">
        <v>1.14063761</v>
      </c>
      <c r="I57" s="18" t="s">
        <v>349</v>
      </c>
      <c r="J57" s="20" t="s">
        <v>349</v>
      </c>
      <c r="K57" s="18" t="n">
        <v>1.53767282</v>
      </c>
      <c r="L57" s="20" t="n">
        <v>0.55240065</v>
      </c>
      <c r="M57" s="18" t="n">
        <v>0</v>
      </c>
      <c r="N57" s="20" t="n">
        <v>0</v>
      </c>
      <c r="O57" s="18" t="n">
        <v>0</v>
      </c>
      <c r="P57" s="20" t="n">
        <v>0</v>
      </c>
      <c r="Q57" s="18" t="n">
        <v>27.53522983</v>
      </c>
      <c r="R57" s="20" t="n">
        <v>2.15794181</v>
      </c>
    </row>
    <row r="58" spans="1:18">
      <c r="A58" s="15" t="s">
        <v>400</v>
      </c>
      <c r="B58" s="17" t="n">
        <v>3737</v>
      </c>
      <c r="C58" s="18">
        <f>(3119.0/B58*100)</f>
        <v/>
      </c>
      <c r="D58" s="19" t="n">
        <v>618</v>
      </c>
      <c r="E58" s="18" t="n">
        <v>53.40070024</v>
      </c>
      <c r="F58" s="20" t="n">
        <v>2.61725743</v>
      </c>
      <c r="G58" s="18" t="n">
        <v>17.62278437</v>
      </c>
      <c r="H58" s="20" t="n">
        <v>1.94010716</v>
      </c>
      <c r="I58" s="18" t="s">
        <v>349</v>
      </c>
      <c r="J58" s="20" t="s">
        <v>349</v>
      </c>
      <c r="K58" s="18" t="n">
        <v>2.65095664</v>
      </c>
      <c r="L58" s="20" t="n">
        <v>0.69334027</v>
      </c>
      <c r="M58" s="18" t="n">
        <v>0</v>
      </c>
      <c r="N58" s="20" t="n">
        <v>0</v>
      </c>
      <c r="O58" s="18" t="n">
        <v>0</v>
      </c>
      <c r="P58" s="20" t="n">
        <v>0</v>
      </c>
      <c r="Q58" s="18" t="n">
        <v>26.32555875</v>
      </c>
      <c r="R58" s="20" t="n">
        <v>2.07001434</v>
      </c>
    </row>
    <row r="59" spans="1:18">
      <c r="A59" s="15" t="s">
        <v>401</v>
      </c>
      <c r="B59" s="17" t="n">
        <v>2278</v>
      </c>
      <c r="C59" s="18">
        <f>(1902.0/B59*100)</f>
        <v/>
      </c>
      <c r="D59" s="19" t="n">
        <v>376</v>
      </c>
      <c r="E59" s="18" t="n">
        <v>35.35646118</v>
      </c>
      <c r="F59" s="20" t="n">
        <v>3.05987287</v>
      </c>
      <c r="G59" s="18" t="n">
        <v>6.83620211</v>
      </c>
      <c r="H59" s="20" t="n">
        <v>1.41736643</v>
      </c>
      <c r="I59" s="18" t="s">
        <v>349</v>
      </c>
      <c r="J59" s="20" t="s">
        <v>349</v>
      </c>
      <c r="K59" s="18" t="n">
        <v>1.41782282</v>
      </c>
      <c r="L59" s="20" t="n">
        <v>0.49484559</v>
      </c>
      <c r="M59" s="18" t="n">
        <v>0</v>
      </c>
      <c r="N59" s="20" t="n">
        <v>0</v>
      </c>
      <c r="O59" s="18" t="n">
        <v>0</v>
      </c>
      <c r="P59" s="20" t="n">
        <v>0</v>
      </c>
      <c r="Q59" s="18" t="n">
        <v>56.38951388</v>
      </c>
      <c r="R59" s="20" t="n">
        <v>3.10127717</v>
      </c>
    </row>
    <row r="60" spans="1:18">
      <c r="A60" s="15" t="s">
        <v>402</v>
      </c>
      <c r="B60" s="17" t="n">
        <v>2451</v>
      </c>
      <c r="C60" s="18">
        <f>(2041.0/B60*100)</f>
        <v/>
      </c>
      <c r="D60" s="19" t="n">
        <v>410</v>
      </c>
      <c r="E60" s="18" t="n">
        <v>28.58152395</v>
      </c>
      <c r="F60" s="20" t="n">
        <v>2.70248212</v>
      </c>
      <c r="G60" s="18" t="n">
        <v>13.26874718</v>
      </c>
      <c r="H60" s="20" t="n">
        <v>1.86656269</v>
      </c>
      <c r="I60" s="18" t="s">
        <v>349</v>
      </c>
      <c r="J60" s="20" t="s">
        <v>349</v>
      </c>
      <c r="K60" s="18" t="n">
        <v>8.237363070000001</v>
      </c>
      <c r="L60" s="20" t="n">
        <v>1.47803043</v>
      </c>
      <c r="M60" s="18" t="n">
        <v>0</v>
      </c>
      <c r="N60" s="20" t="n">
        <v>0</v>
      </c>
      <c r="O60" s="18" t="n">
        <v>0</v>
      </c>
      <c r="P60" s="20" t="n">
        <v>0</v>
      </c>
      <c r="Q60" s="18" t="n">
        <v>49.91236581</v>
      </c>
      <c r="R60" s="20" t="n">
        <v>3.35172679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(2094.0/B63*100)</f>
        <v/>
      </c>
      <c r="D63" s="19" t="n">
        <v>417</v>
      </c>
      <c r="E63" s="18" t="n">
        <v>24.79586698</v>
      </c>
      <c r="F63" s="20" t="n">
        <v>2.60398658</v>
      </c>
      <c r="G63" s="18" t="n">
        <v>6.76196109</v>
      </c>
      <c r="H63" s="20" t="n">
        <v>1.47651482</v>
      </c>
      <c r="I63" s="18" t="s">
        <v>349</v>
      </c>
      <c r="J63" s="20" t="s">
        <v>349</v>
      </c>
      <c r="K63" s="18" t="n">
        <v>3.41292994</v>
      </c>
      <c r="L63" s="20" t="n">
        <v>0.86963279</v>
      </c>
      <c r="M63" s="18" t="n">
        <v>0</v>
      </c>
      <c r="N63" s="20" t="n">
        <v>0</v>
      </c>
      <c r="O63" s="18" t="n">
        <v>0</v>
      </c>
      <c r="P63" s="20" t="n">
        <v>0</v>
      </c>
      <c r="Q63" s="18" t="n">
        <v>65.02924199</v>
      </c>
      <c r="R63" s="20" t="n">
        <v>2.79653738</v>
      </c>
    </row>
    <row r="64" spans="1:18">
      <c r="A64" s="15" t="s">
        <v>406</v>
      </c>
      <c r="B64" s="17" t="n">
        <v>1790</v>
      </c>
      <c r="C64" s="18">
        <f>(1504.0/B64*100)</f>
        <v/>
      </c>
      <c r="D64" s="19" t="n">
        <v>286</v>
      </c>
      <c r="E64" s="18" t="n">
        <v>35.7031241</v>
      </c>
      <c r="F64" s="20" t="n">
        <v>3.12478668</v>
      </c>
      <c r="G64" s="18" t="n">
        <v>34.13126907</v>
      </c>
      <c r="H64" s="20" t="n">
        <v>3.013067</v>
      </c>
      <c r="I64" s="18" t="s">
        <v>349</v>
      </c>
      <c r="J64" s="20" t="s">
        <v>349</v>
      </c>
      <c r="K64" s="18" t="n">
        <v>1.72653749</v>
      </c>
      <c r="L64" s="20" t="n">
        <v>0.93802372</v>
      </c>
      <c r="M64" s="18" t="n">
        <v>0</v>
      </c>
      <c r="N64" s="20" t="n">
        <v>0</v>
      </c>
      <c r="O64" s="18" t="n">
        <v>0</v>
      </c>
      <c r="P64" s="20" t="n">
        <v>0</v>
      </c>
      <c r="Q64" s="18" t="n">
        <v>28.43906934</v>
      </c>
      <c r="R64" s="20" t="n">
        <v>3.00362805</v>
      </c>
    </row>
    <row r="65" spans="1:18">
      <c r="A65" s="15" t="s">
        <v>407</v>
      </c>
      <c r="B65" s="17" t="n">
        <v>2634</v>
      </c>
      <c r="C65" s="18">
        <f>(2199.0/B65*100)</f>
        <v/>
      </c>
      <c r="D65" s="19" t="n">
        <v>435</v>
      </c>
      <c r="E65" s="18" t="n">
        <v>39.0684909</v>
      </c>
      <c r="F65" s="20" t="n">
        <v>2.35490184</v>
      </c>
      <c r="G65" s="18" t="n">
        <v>13.94255722</v>
      </c>
      <c r="H65" s="20" t="n">
        <v>1.53248249</v>
      </c>
      <c r="I65" s="18" t="s">
        <v>349</v>
      </c>
      <c r="J65" s="20" t="s">
        <v>349</v>
      </c>
      <c r="K65" s="18" t="n">
        <v>8.17139124</v>
      </c>
      <c r="L65" s="20" t="n">
        <v>1.33512631</v>
      </c>
      <c r="M65" s="18" t="n">
        <v>0</v>
      </c>
      <c r="N65" s="20" t="n">
        <v>0</v>
      </c>
      <c r="O65" s="18" t="n">
        <v>0</v>
      </c>
      <c r="P65" s="20" t="n">
        <v>0</v>
      </c>
      <c r="Q65" s="18" t="n">
        <v>38.81756063</v>
      </c>
      <c r="R65" s="20" t="n">
        <v>2.35203036</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(2062.0/B69*100)</f>
        <v/>
      </c>
      <c r="D69" s="19" t="n">
        <v>404</v>
      </c>
      <c r="E69" s="18" t="n">
        <v>72.51999893999999</v>
      </c>
      <c r="F69" s="20" t="n">
        <v>2.55080659</v>
      </c>
      <c r="G69" s="18" t="n">
        <v>26.11275348</v>
      </c>
      <c r="H69" s="20" t="n">
        <v>2.49607849</v>
      </c>
      <c r="I69" s="18" t="s">
        <v>349</v>
      </c>
      <c r="J69" s="20" t="s">
        <v>349</v>
      </c>
      <c r="K69" s="18" t="n">
        <v>0</v>
      </c>
      <c r="L69" s="20" t="n">
        <v>0</v>
      </c>
      <c r="M69" s="18" t="n">
        <v>0</v>
      </c>
      <c r="N69" s="20" t="n">
        <v>0</v>
      </c>
      <c r="O69" s="18" t="n">
        <v>0</v>
      </c>
      <c r="P69" s="20" t="n">
        <v>0</v>
      </c>
      <c r="Q69" s="18" t="n">
        <v>1.36724758</v>
      </c>
      <c r="R69" s="20" t="n">
        <v>0.55890546</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(2039.0/B74*100)</f>
        <v/>
      </c>
      <c r="D74" s="19" t="n">
        <v>414</v>
      </c>
      <c r="E74" s="18" t="n">
        <v>26.92007532</v>
      </c>
      <c r="F74" s="20" t="n">
        <v>2.20234608</v>
      </c>
      <c r="G74" s="18" t="n">
        <v>23.50803837</v>
      </c>
      <c r="H74" s="20" t="n">
        <v>2.20257753</v>
      </c>
      <c r="I74" s="18" t="s">
        <v>349</v>
      </c>
      <c r="J74" s="20" t="s">
        <v>349</v>
      </c>
      <c r="K74" s="18" t="n">
        <v>5.26786924</v>
      </c>
      <c r="L74" s="20" t="n">
        <v>1.19385168</v>
      </c>
      <c r="M74" s="18" t="n">
        <v>0</v>
      </c>
      <c r="N74" s="20" t="n">
        <v>0</v>
      </c>
      <c r="O74" s="18" t="n">
        <v>0</v>
      </c>
      <c r="P74" s="20" t="n">
        <v>0</v>
      </c>
      <c r="Q74" s="18" t="n">
        <v>44.30401706</v>
      </c>
      <c r="R74" s="20" t="n">
        <v>2.71578786</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(2530.0/B78*100)</f>
        <v/>
      </c>
      <c r="D78" s="19" t="n">
        <v>510</v>
      </c>
      <c r="E78" s="18" t="n">
        <v>52.89384387</v>
      </c>
      <c r="F78" s="20" t="n">
        <v>2.54178077</v>
      </c>
      <c r="G78" s="18" t="n">
        <v>34.03031428</v>
      </c>
      <c r="H78" s="20" t="n">
        <v>2.31493583</v>
      </c>
      <c r="I78" s="18" t="s">
        <v>349</v>
      </c>
      <c r="J78" s="20" t="s">
        <v>349</v>
      </c>
      <c r="K78" s="18" t="n">
        <v>0</v>
      </c>
      <c r="L78" s="20" t="n">
        <v>0</v>
      </c>
      <c r="M78" s="18" t="n">
        <v>0</v>
      </c>
      <c r="N78" s="20" t="n">
        <v>0</v>
      </c>
      <c r="O78" s="18" t="n">
        <v>0</v>
      </c>
      <c r="P78" s="20" t="n">
        <v>0</v>
      </c>
      <c r="Q78" s="18" t="n">
        <v>13.07584186</v>
      </c>
      <c r="R78" s="20" t="n">
        <v>1.72957413</v>
      </c>
    </row>
    <row customHeight="1" ht="25" r="79" spans="1:18">
      <c r="A79" s="15" t="s">
        <v>421</v>
      </c>
      <c r="B79" s="17" t="n">
        <v>870</v>
      </c>
      <c r="C79" s="18">
        <f>(720.0/B79*100)</f>
        <v/>
      </c>
      <c r="D79" s="19" t="n">
        <v>150</v>
      </c>
      <c r="E79" s="18" t="n">
        <v>36.65318882</v>
      </c>
      <c r="F79" s="20" t="n">
        <v>3.97983837</v>
      </c>
      <c r="G79" s="18" t="n">
        <v>27.21120793</v>
      </c>
      <c r="H79" s="20" t="n">
        <v>4.76806067</v>
      </c>
      <c r="I79" s="18" t="s">
        <v>349</v>
      </c>
      <c r="J79" s="20" t="s">
        <v>349</v>
      </c>
      <c r="K79" s="18" t="n">
        <v>6.37415967</v>
      </c>
      <c r="L79" s="20" t="n">
        <v>2.24174612</v>
      </c>
      <c r="M79" s="18" t="n">
        <v>0</v>
      </c>
      <c r="N79" s="20" t="n">
        <v>0</v>
      </c>
      <c r="O79" s="18" t="n">
        <v>0</v>
      </c>
      <c r="P79" s="20" t="n">
        <v>0</v>
      </c>
      <c r="Q79" s="18" t="n">
        <v>29.76144358</v>
      </c>
      <c r="R79" s="20" t="n">
        <v>3.4800593</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(2238.0/B44*100)</f>
        <v/>
      </c>
      <c r="D44" s="19" t="n">
        <v>453</v>
      </c>
      <c r="E44" s="18" t="n">
        <v>29.73359572</v>
      </c>
      <c r="F44" s="20" t="n">
        <v>2.47042885</v>
      </c>
      <c r="G44" s="18" t="n">
        <v>34.0260287</v>
      </c>
      <c r="H44" s="20" t="n">
        <v>2.69874214</v>
      </c>
      <c r="I44" s="18" t="s">
        <v>349</v>
      </c>
      <c r="J44" s="20" t="s">
        <v>349</v>
      </c>
      <c r="K44" s="18" t="n">
        <v>4.23209564</v>
      </c>
      <c r="L44" s="20" t="n">
        <v>1.14002573</v>
      </c>
      <c r="M44" s="18" t="n">
        <v>0</v>
      </c>
      <c r="N44" s="20" t="n">
        <v>0</v>
      </c>
      <c r="O44" s="18" t="n">
        <v>0</v>
      </c>
      <c r="P44" s="20" t="n">
        <v>0</v>
      </c>
      <c r="Q44" s="18" t="n">
        <v>32.00827993</v>
      </c>
      <c r="R44" s="20" t="n">
        <v>3.06711802</v>
      </c>
    </row>
    <row r="45" spans="1:18">
      <c r="A45" s="15" t="s">
        <v>387</v>
      </c>
      <c r="B45" s="17" t="n">
        <v>2670</v>
      </c>
      <c r="C45" s="18">
        <f>(2216.0/B45*100)</f>
        <v/>
      </c>
      <c r="D45" s="19" t="n">
        <v>454</v>
      </c>
      <c r="E45" s="18" t="n">
        <v>32.82217288</v>
      </c>
      <c r="F45" s="20" t="n">
        <v>2.83003442</v>
      </c>
      <c r="G45" s="18" t="n">
        <v>14.09916442</v>
      </c>
      <c r="H45" s="20" t="n">
        <v>1.89544159</v>
      </c>
      <c r="I45" s="18" t="s">
        <v>349</v>
      </c>
      <c r="J45" s="20" t="s">
        <v>349</v>
      </c>
      <c r="K45" s="18" t="n">
        <v>7.14086214</v>
      </c>
      <c r="L45" s="20" t="n">
        <v>1.32584091</v>
      </c>
      <c r="M45" s="18" t="n">
        <v>0</v>
      </c>
      <c r="N45" s="20" t="n">
        <v>0</v>
      </c>
      <c r="O45" s="18" t="n">
        <v>0.1163521</v>
      </c>
      <c r="P45" s="20" t="n">
        <v>0.11788566</v>
      </c>
      <c r="Q45" s="18" t="n">
        <v>45.82144846</v>
      </c>
      <c r="R45" s="20" t="n">
        <v>2.75377398</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(2777.0/B49*100)</f>
        <v/>
      </c>
      <c r="D49" s="19" t="n">
        <v>554</v>
      </c>
      <c r="E49" s="18" t="n">
        <v>29.76388555</v>
      </c>
      <c r="F49" s="20" t="n">
        <v>2.41769723</v>
      </c>
      <c r="G49" s="18" t="n">
        <v>22.56196841</v>
      </c>
      <c r="H49" s="20" t="n">
        <v>2.08166236</v>
      </c>
      <c r="I49" s="18" t="s">
        <v>349</v>
      </c>
      <c r="J49" s="20" t="s">
        <v>349</v>
      </c>
      <c r="K49" s="18" t="n">
        <v>3.3109465</v>
      </c>
      <c r="L49" s="20" t="n">
        <v>0.79571378</v>
      </c>
      <c r="M49" s="18" t="n">
        <v>0</v>
      </c>
      <c r="N49" s="20" t="n">
        <v>0</v>
      </c>
      <c r="O49" s="18" t="n">
        <v>0</v>
      </c>
      <c r="P49" s="20" t="n">
        <v>0</v>
      </c>
      <c r="Q49" s="18" t="n">
        <v>44.36319954</v>
      </c>
      <c r="R49" s="20" t="n">
        <v>2.4902986</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(2100.0/B55*100)</f>
        <v/>
      </c>
      <c r="D55" s="19" t="n">
        <v>457</v>
      </c>
      <c r="E55" s="18" t="n">
        <v>24.81237092</v>
      </c>
      <c r="F55" s="20" t="n">
        <v>2.13555245</v>
      </c>
      <c r="G55" s="18" t="n">
        <v>40.21539223</v>
      </c>
      <c r="H55" s="20" t="n">
        <v>2.55924646</v>
      </c>
      <c r="I55" s="18" t="s">
        <v>349</v>
      </c>
      <c r="J55" s="20" t="s">
        <v>349</v>
      </c>
      <c r="K55" s="18" t="n">
        <v>2.77263477</v>
      </c>
      <c r="L55" s="20" t="n">
        <v>0.56197973</v>
      </c>
      <c r="M55" s="18" t="n">
        <v>0</v>
      </c>
      <c r="N55" s="20" t="n">
        <v>0</v>
      </c>
      <c r="O55" s="18" t="n">
        <v>0</v>
      </c>
      <c r="P55" s="20" t="n">
        <v>0</v>
      </c>
      <c r="Q55" s="18" t="n">
        <v>32.19960208</v>
      </c>
      <c r="R55" s="20" t="n">
        <v>2.47148673</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(2786.0/B57*100)</f>
        <v/>
      </c>
      <c r="D57" s="19" t="n">
        <v>557</v>
      </c>
      <c r="E57" s="18" t="n">
        <v>63.18918003</v>
      </c>
      <c r="F57" s="20" t="n">
        <v>2.17946051</v>
      </c>
      <c r="G57" s="18" t="n">
        <v>17.72928263</v>
      </c>
      <c r="H57" s="20" t="n">
        <v>1.74293498</v>
      </c>
      <c r="I57" s="18" t="s">
        <v>349</v>
      </c>
      <c r="J57" s="20" t="s">
        <v>349</v>
      </c>
      <c r="K57" s="18" t="n">
        <v>1.53767282</v>
      </c>
      <c r="L57" s="20" t="n">
        <v>0.55240065</v>
      </c>
      <c r="M57" s="18" t="n">
        <v>0</v>
      </c>
      <c r="N57" s="20" t="n">
        <v>0</v>
      </c>
      <c r="O57" s="18" t="n">
        <v>0</v>
      </c>
      <c r="P57" s="20" t="n">
        <v>0</v>
      </c>
      <c r="Q57" s="18" t="n">
        <v>17.54386452</v>
      </c>
      <c r="R57" s="20" t="n">
        <v>2.13107446</v>
      </c>
    </row>
    <row r="58" spans="1:18">
      <c r="A58" s="15" t="s">
        <v>400</v>
      </c>
      <c r="B58" s="17" t="n">
        <v>3737</v>
      </c>
      <c r="C58" s="18">
        <f>(3119.0/B58*100)</f>
        <v/>
      </c>
      <c r="D58" s="19" t="n">
        <v>618</v>
      </c>
      <c r="E58" s="18" t="n">
        <v>48.38217336</v>
      </c>
      <c r="F58" s="20" t="n">
        <v>2.58785426</v>
      </c>
      <c r="G58" s="18" t="n">
        <v>31.46902613</v>
      </c>
      <c r="H58" s="20" t="n">
        <v>2.30095925</v>
      </c>
      <c r="I58" s="18" t="s">
        <v>349</v>
      </c>
      <c r="J58" s="20" t="s">
        <v>349</v>
      </c>
      <c r="K58" s="18" t="n">
        <v>2.65095664</v>
      </c>
      <c r="L58" s="20" t="n">
        <v>0.69334027</v>
      </c>
      <c r="M58" s="18" t="n">
        <v>0</v>
      </c>
      <c r="N58" s="20" t="n">
        <v>0</v>
      </c>
      <c r="O58" s="18" t="n">
        <v>0</v>
      </c>
      <c r="P58" s="20" t="n">
        <v>0</v>
      </c>
      <c r="Q58" s="18" t="n">
        <v>17.49784387</v>
      </c>
      <c r="R58" s="20" t="n">
        <v>2.16554466</v>
      </c>
    </row>
    <row r="59" spans="1:18">
      <c r="A59" s="15" t="s">
        <v>401</v>
      </c>
      <c r="B59" s="17" t="n">
        <v>2278</v>
      </c>
      <c r="C59" s="18">
        <f>(1902.0/B59*100)</f>
        <v/>
      </c>
      <c r="D59" s="19" t="n">
        <v>376</v>
      </c>
      <c r="E59" s="18" t="n">
        <v>42.68055566</v>
      </c>
      <c r="F59" s="20" t="n">
        <v>2.4752415</v>
      </c>
      <c r="G59" s="18" t="n">
        <v>19.78997757</v>
      </c>
      <c r="H59" s="20" t="n">
        <v>2.67520784</v>
      </c>
      <c r="I59" s="18" t="s">
        <v>349</v>
      </c>
      <c r="J59" s="20" t="s">
        <v>349</v>
      </c>
      <c r="K59" s="18" t="n">
        <v>1.41782282</v>
      </c>
      <c r="L59" s="20" t="n">
        <v>0.49484559</v>
      </c>
      <c r="M59" s="18" t="n">
        <v>0</v>
      </c>
      <c r="N59" s="20" t="n">
        <v>0</v>
      </c>
      <c r="O59" s="18" t="n">
        <v>0</v>
      </c>
      <c r="P59" s="20" t="n">
        <v>0</v>
      </c>
      <c r="Q59" s="18" t="n">
        <v>36.11164395</v>
      </c>
      <c r="R59" s="20" t="n">
        <v>2.77922744</v>
      </c>
    </row>
    <row r="60" spans="1:18">
      <c r="A60" s="15" t="s">
        <v>402</v>
      </c>
      <c r="B60" s="17" t="n">
        <v>2451</v>
      </c>
      <c r="C60" s="18">
        <f>(2041.0/B60*100)</f>
        <v/>
      </c>
      <c r="D60" s="19" t="n">
        <v>410</v>
      </c>
      <c r="E60" s="18" t="n">
        <v>30.39449679</v>
      </c>
      <c r="F60" s="20" t="n">
        <v>2.52197141</v>
      </c>
      <c r="G60" s="18" t="n">
        <v>28.02145857</v>
      </c>
      <c r="H60" s="20" t="n">
        <v>2.41602524</v>
      </c>
      <c r="I60" s="18" t="s">
        <v>349</v>
      </c>
      <c r="J60" s="20" t="s">
        <v>349</v>
      </c>
      <c r="K60" s="18" t="n">
        <v>7.50631212</v>
      </c>
      <c r="L60" s="20" t="n">
        <v>1.43623439</v>
      </c>
      <c r="M60" s="18" t="n">
        <v>0</v>
      </c>
      <c r="N60" s="20" t="n">
        <v>0</v>
      </c>
      <c r="O60" s="18" t="n">
        <v>0</v>
      </c>
      <c r="P60" s="20" t="n">
        <v>0</v>
      </c>
      <c r="Q60" s="18" t="n">
        <v>34.07773252</v>
      </c>
      <c r="R60" s="20" t="n">
        <v>2.66299823</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(2094.0/B63*100)</f>
        <v/>
      </c>
      <c r="D63" s="19" t="n">
        <v>417</v>
      </c>
      <c r="E63" s="18" t="n">
        <v>24.11014936</v>
      </c>
      <c r="F63" s="20" t="n">
        <v>2.18708543</v>
      </c>
      <c r="G63" s="18" t="n">
        <v>18.27673495</v>
      </c>
      <c r="H63" s="20" t="n">
        <v>2.12866774</v>
      </c>
      <c r="I63" s="18" t="s">
        <v>349</v>
      </c>
      <c r="J63" s="20" t="s">
        <v>349</v>
      </c>
      <c r="K63" s="18" t="n">
        <v>3.41292994</v>
      </c>
      <c r="L63" s="20" t="n">
        <v>0.86963279</v>
      </c>
      <c r="M63" s="18" t="n">
        <v>0</v>
      </c>
      <c r="N63" s="20" t="n">
        <v>0</v>
      </c>
      <c r="O63" s="18" t="n">
        <v>0</v>
      </c>
      <c r="P63" s="20" t="n">
        <v>0</v>
      </c>
      <c r="Q63" s="18" t="n">
        <v>54.20018576</v>
      </c>
      <c r="R63" s="20" t="n">
        <v>2.62988163</v>
      </c>
    </row>
    <row r="64" spans="1:18">
      <c r="A64" s="15" t="s">
        <v>406</v>
      </c>
      <c r="B64" s="17" t="n">
        <v>1790</v>
      </c>
      <c r="C64" s="18">
        <f>(1504.0/B64*100)</f>
        <v/>
      </c>
      <c r="D64" s="19" t="n">
        <v>286</v>
      </c>
      <c r="E64" s="18" t="n">
        <v>25.77184627</v>
      </c>
      <c r="F64" s="20" t="n">
        <v>2.53226437</v>
      </c>
      <c r="G64" s="18" t="n">
        <v>50.73306225</v>
      </c>
      <c r="H64" s="20" t="n">
        <v>2.60276796</v>
      </c>
      <c r="I64" s="18" t="s">
        <v>349</v>
      </c>
      <c r="J64" s="20" t="s">
        <v>349</v>
      </c>
      <c r="K64" s="18" t="n">
        <v>1.72653749</v>
      </c>
      <c r="L64" s="20" t="n">
        <v>0.93802372</v>
      </c>
      <c r="M64" s="18" t="n">
        <v>0</v>
      </c>
      <c r="N64" s="20" t="n">
        <v>0</v>
      </c>
      <c r="O64" s="18" t="n">
        <v>0</v>
      </c>
      <c r="P64" s="20" t="n">
        <v>0</v>
      </c>
      <c r="Q64" s="18" t="n">
        <v>21.76855399</v>
      </c>
      <c r="R64" s="20" t="n">
        <v>2.56979508</v>
      </c>
    </row>
    <row r="65" spans="1:18">
      <c r="A65" s="15" t="s">
        <v>407</v>
      </c>
      <c r="B65" s="17" t="n">
        <v>2634</v>
      </c>
      <c r="C65" s="18">
        <f>(2199.0/B65*100)</f>
        <v/>
      </c>
      <c r="D65" s="19" t="n">
        <v>435</v>
      </c>
      <c r="E65" s="18" t="n">
        <v>19.16415978</v>
      </c>
      <c r="F65" s="20" t="n">
        <v>1.9413553</v>
      </c>
      <c r="G65" s="18" t="n">
        <v>35.92102395</v>
      </c>
      <c r="H65" s="20" t="n">
        <v>2.52053625</v>
      </c>
      <c r="I65" s="18" t="s">
        <v>349</v>
      </c>
      <c r="J65" s="20" t="s">
        <v>349</v>
      </c>
      <c r="K65" s="18" t="n">
        <v>8.12826368</v>
      </c>
      <c r="L65" s="20" t="n">
        <v>1.33625309</v>
      </c>
      <c r="M65" s="18" t="n">
        <v>0</v>
      </c>
      <c r="N65" s="20" t="n">
        <v>0</v>
      </c>
      <c r="O65" s="18" t="n">
        <v>0</v>
      </c>
      <c r="P65" s="20" t="n">
        <v>0</v>
      </c>
      <c r="Q65" s="18" t="n">
        <v>36.78655259</v>
      </c>
      <c r="R65" s="20" t="n">
        <v>2.50732953</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(2062.0/B69*100)</f>
        <v/>
      </c>
      <c r="D69" s="19" t="n">
        <v>404</v>
      </c>
      <c r="E69" s="18" t="n">
        <v>53.4335446</v>
      </c>
      <c r="F69" s="20" t="n">
        <v>2.64931141</v>
      </c>
      <c r="G69" s="18" t="n">
        <v>45.9082915</v>
      </c>
      <c r="H69" s="20" t="n">
        <v>2.63387668</v>
      </c>
      <c r="I69" s="18" t="s">
        <v>349</v>
      </c>
      <c r="J69" s="20" t="s">
        <v>349</v>
      </c>
      <c r="K69" s="18" t="n">
        <v>0</v>
      </c>
      <c r="L69" s="20" t="n">
        <v>0</v>
      </c>
      <c r="M69" s="18" t="n">
        <v>0</v>
      </c>
      <c r="N69" s="20" t="n">
        <v>0</v>
      </c>
      <c r="O69" s="18" t="n">
        <v>0</v>
      </c>
      <c r="P69" s="20" t="n">
        <v>0</v>
      </c>
      <c r="Q69" s="18" t="n">
        <v>0.6581639</v>
      </c>
      <c r="R69" s="20" t="n">
        <v>0.38085962</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(2039.0/B74*100)</f>
        <v/>
      </c>
      <c r="D74" s="19" t="n">
        <v>414</v>
      </c>
      <c r="E74" s="18" t="n">
        <v>27.49382299</v>
      </c>
      <c r="F74" s="20" t="n">
        <v>2.0921325</v>
      </c>
      <c r="G74" s="18" t="n">
        <v>31.74735404</v>
      </c>
      <c r="H74" s="20" t="n">
        <v>2.47953878</v>
      </c>
      <c r="I74" s="18" t="s">
        <v>349</v>
      </c>
      <c r="J74" s="20" t="s">
        <v>349</v>
      </c>
      <c r="K74" s="18" t="n">
        <v>5.26786924</v>
      </c>
      <c r="L74" s="20" t="n">
        <v>1.19385168</v>
      </c>
      <c r="M74" s="18" t="n">
        <v>0</v>
      </c>
      <c r="N74" s="20" t="n">
        <v>0</v>
      </c>
      <c r="O74" s="18" t="n">
        <v>0</v>
      </c>
      <c r="P74" s="20" t="n">
        <v>0</v>
      </c>
      <c r="Q74" s="18" t="n">
        <v>35.49095373</v>
      </c>
      <c r="R74" s="20" t="n">
        <v>2.396913</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(2530.0/B78*100)</f>
        <v/>
      </c>
      <c r="D78" s="19" t="n">
        <v>510</v>
      </c>
      <c r="E78" s="18" t="n">
        <v>32.61996463</v>
      </c>
      <c r="F78" s="20" t="n">
        <v>2.65460673</v>
      </c>
      <c r="G78" s="18" t="n">
        <v>62.05615838</v>
      </c>
      <c r="H78" s="20" t="n">
        <v>2.54151654</v>
      </c>
      <c r="I78" s="18" t="s">
        <v>349</v>
      </c>
      <c r="J78" s="20" t="s">
        <v>349</v>
      </c>
      <c r="K78" s="18" t="n">
        <v>0</v>
      </c>
      <c r="L78" s="20" t="n">
        <v>0</v>
      </c>
      <c r="M78" s="18" t="n">
        <v>0</v>
      </c>
      <c r="N78" s="20" t="n">
        <v>0</v>
      </c>
      <c r="O78" s="18" t="n">
        <v>0</v>
      </c>
      <c r="P78" s="20" t="n">
        <v>0</v>
      </c>
      <c r="Q78" s="18" t="n">
        <v>5.32387699</v>
      </c>
      <c r="R78" s="20" t="n">
        <v>1.15718905</v>
      </c>
    </row>
    <row customHeight="1" ht="25" r="79" spans="1:18">
      <c r="A79" s="15" t="s">
        <v>421</v>
      </c>
      <c r="B79" s="17" t="n">
        <v>870</v>
      </c>
      <c r="C79" s="18">
        <f>(720.0/B79*100)</f>
        <v/>
      </c>
      <c r="D79" s="19" t="n">
        <v>150</v>
      </c>
      <c r="E79" s="18" t="n">
        <v>27.5107277</v>
      </c>
      <c r="F79" s="20" t="n">
        <v>5.12694761</v>
      </c>
      <c r="G79" s="18" t="n">
        <v>40.47368766</v>
      </c>
      <c r="H79" s="20" t="n">
        <v>5.2574447</v>
      </c>
      <c r="I79" s="18" t="s">
        <v>349</v>
      </c>
      <c r="J79" s="20" t="s">
        <v>349</v>
      </c>
      <c r="K79" s="18" t="n">
        <v>5.903683</v>
      </c>
      <c r="L79" s="20" t="n">
        <v>2.2219162</v>
      </c>
      <c r="M79" s="18" t="n">
        <v>0</v>
      </c>
      <c r="N79" s="20" t="n">
        <v>0</v>
      </c>
      <c r="O79" s="18" t="n">
        <v>0</v>
      </c>
      <c r="P79" s="20" t="n">
        <v>0</v>
      </c>
      <c r="Q79" s="18" t="n">
        <v>26.11190164</v>
      </c>
      <c r="R79" s="20" t="n">
        <v>3.43881728</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(2238.0/B44*100)</f>
        <v/>
      </c>
      <c r="D44" s="19" t="n">
        <v>453</v>
      </c>
      <c r="E44" s="18" t="n">
        <v>35.97098478</v>
      </c>
      <c r="F44" s="20" t="n">
        <v>2.90951056</v>
      </c>
      <c r="G44" s="18" t="n">
        <v>15.84580419</v>
      </c>
      <c r="H44" s="20" t="n">
        <v>2.46527946</v>
      </c>
      <c r="I44" s="18" t="s">
        <v>349</v>
      </c>
      <c r="J44" s="20" t="s">
        <v>349</v>
      </c>
      <c r="K44" s="18" t="n">
        <v>4.80497715</v>
      </c>
      <c r="L44" s="20" t="n">
        <v>1.19048611</v>
      </c>
      <c r="M44" s="18" t="n">
        <v>0</v>
      </c>
      <c r="N44" s="20" t="n">
        <v>0</v>
      </c>
      <c r="O44" s="18" t="n">
        <v>0</v>
      </c>
      <c r="P44" s="20" t="n">
        <v>0</v>
      </c>
      <c r="Q44" s="18" t="n">
        <v>43.37823388</v>
      </c>
      <c r="R44" s="20" t="n">
        <v>3.49067758</v>
      </c>
    </row>
    <row r="45" spans="1:18">
      <c r="A45" s="15" t="s">
        <v>387</v>
      </c>
      <c r="B45" s="17" t="n">
        <v>2670</v>
      </c>
      <c r="C45" s="18">
        <f>(2216.0/B45*100)</f>
        <v/>
      </c>
      <c r="D45" s="19" t="n">
        <v>454</v>
      </c>
      <c r="E45" s="18" t="n">
        <v>43.44630048</v>
      </c>
      <c r="F45" s="20" t="n">
        <v>2.37080971</v>
      </c>
      <c r="G45" s="18" t="n">
        <v>8.224681970000001</v>
      </c>
      <c r="H45" s="20" t="n">
        <v>1.89428236</v>
      </c>
      <c r="I45" s="18" t="s">
        <v>349</v>
      </c>
      <c r="J45" s="20" t="s">
        <v>349</v>
      </c>
      <c r="K45" s="18" t="n">
        <v>7.25192187</v>
      </c>
      <c r="L45" s="20" t="n">
        <v>1.34248198</v>
      </c>
      <c r="M45" s="18" t="n">
        <v>0</v>
      </c>
      <c r="N45" s="20" t="n">
        <v>0</v>
      </c>
      <c r="O45" s="18" t="n">
        <v>0.30075907</v>
      </c>
      <c r="P45" s="20" t="n">
        <v>0.2116783</v>
      </c>
      <c r="Q45" s="18" t="n">
        <v>40.77633661</v>
      </c>
      <c r="R45" s="20" t="n">
        <v>2.28875524</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(2777.0/B49*100)</f>
        <v/>
      </c>
      <c r="D49" s="19" t="n">
        <v>554</v>
      </c>
      <c r="E49" s="18" t="n">
        <v>37.48763988</v>
      </c>
      <c r="F49" s="20" t="n">
        <v>2.41321261</v>
      </c>
      <c r="G49" s="18" t="n">
        <v>11.77693056</v>
      </c>
      <c r="H49" s="20" t="n">
        <v>1.66878826</v>
      </c>
      <c r="I49" s="18" t="s">
        <v>349</v>
      </c>
      <c r="J49" s="20" t="s">
        <v>349</v>
      </c>
      <c r="K49" s="18" t="n">
        <v>3.49234047</v>
      </c>
      <c r="L49" s="20" t="n">
        <v>0.7949594</v>
      </c>
      <c r="M49" s="18" t="n">
        <v>0</v>
      </c>
      <c r="N49" s="20" t="n">
        <v>0</v>
      </c>
      <c r="O49" s="18" t="n">
        <v>0</v>
      </c>
      <c r="P49" s="20" t="n">
        <v>0</v>
      </c>
      <c r="Q49" s="18" t="n">
        <v>47.24308909</v>
      </c>
      <c r="R49" s="20" t="n">
        <v>2.5118969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(2100.0/B55*100)</f>
        <v/>
      </c>
      <c r="D55" s="19" t="n">
        <v>457</v>
      </c>
      <c r="E55" s="18" t="n">
        <v>38.59361651</v>
      </c>
      <c r="F55" s="20" t="n">
        <v>2.50281941</v>
      </c>
      <c r="G55" s="18" t="n">
        <v>10.97118886</v>
      </c>
      <c r="H55" s="20" t="n">
        <v>1.6493358</v>
      </c>
      <c r="I55" s="18" t="s">
        <v>349</v>
      </c>
      <c r="J55" s="20" t="s">
        <v>349</v>
      </c>
      <c r="K55" s="18" t="n">
        <v>3.87615794</v>
      </c>
      <c r="L55" s="20" t="n">
        <v>0.91263576</v>
      </c>
      <c r="M55" s="18" t="n">
        <v>0</v>
      </c>
      <c r="N55" s="20" t="n">
        <v>0</v>
      </c>
      <c r="O55" s="18" t="n">
        <v>0</v>
      </c>
      <c r="P55" s="20" t="n">
        <v>0</v>
      </c>
      <c r="Q55" s="18" t="n">
        <v>46.55903669</v>
      </c>
      <c r="R55" s="20" t="n">
        <v>2.70435183</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(2786.0/B57*100)</f>
        <v/>
      </c>
      <c r="D57" s="19" t="n">
        <v>557</v>
      </c>
      <c r="E57" s="18" t="n">
        <v>69.47750218</v>
      </c>
      <c r="F57" s="20" t="n">
        <v>2.12048601</v>
      </c>
      <c r="G57" s="18" t="n">
        <v>16.5599979</v>
      </c>
      <c r="H57" s="20" t="n">
        <v>1.65276692</v>
      </c>
      <c r="I57" s="18" t="s">
        <v>349</v>
      </c>
      <c r="J57" s="20" t="s">
        <v>349</v>
      </c>
      <c r="K57" s="18" t="n">
        <v>1.62195832</v>
      </c>
      <c r="L57" s="20" t="n">
        <v>0.56017167</v>
      </c>
      <c r="M57" s="18" t="n">
        <v>0</v>
      </c>
      <c r="N57" s="20" t="n">
        <v>0</v>
      </c>
      <c r="O57" s="18" t="n">
        <v>0</v>
      </c>
      <c r="P57" s="20" t="n">
        <v>0</v>
      </c>
      <c r="Q57" s="18" t="n">
        <v>12.3405416</v>
      </c>
      <c r="R57" s="20" t="n">
        <v>1.52439994</v>
      </c>
    </row>
    <row r="58" spans="1:18">
      <c r="A58" s="15" t="s">
        <v>400</v>
      </c>
      <c r="B58" s="17" t="n">
        <v>3737</v>
      </c>
      <c r="C58" s="18">
        <f>(3119.0/B58*100)</f>
        <v/>
      </c>
      <c r="D58" s="19" t="n">
        <v>618</v>
      </c>
      <c r="E58" s="18" t="n">
        <v>62.92260694</v>
      </c>
      <c r="F58" s="20" t="n">
        <v>2.04966083</v>
      </c>
      <c r="G58" s="18" t="n">
        <v>17.31681545</v>
      </c>
      <c r="H58" s="20" t="n">
        <v>2.05154683</v>
      </c>
      <c r="I58" s="18" t="s">
        <v>349</v>
      </c>
      <c r="J58" s="20" t="s">
        <v>349</v>
      </c>
      <c r="K58" s="18" t="n">
        <v>2.86942335</v>
      </c>
      <c r="L58" s="20" t="n">
        <v>0.72284129</v>
      </c>
      <c r="M58" s="18" t="n">
        <v>0</v>
      </c>
      <c r="N58" s="20" t="n">
        <v>0</v>
      </c>
      <c r="O58" s="18" t="n">
        <v>0.11633298</v>
      </c>
      <c r="P58" s="20" t="n">
        <v>0.11639407</v>
      </c>
      <c r="Q58" s="18" t="n">
        <v>16.77482128</v>
      </c>
      <c r="R58" s="20" t="n">
        <v>1.74253794</v>
      </c>
    </row>
    <row r="59" spans="1:18">
      <c r="A59" s="15" t="s">
        <v>401</v>
      </c>
      <c r="B59" s="17" t="n">
        <v>2278</v>
      </c>
      <c r="C59" s="18">
        <f>(1902.0/B59*100)</f>
        <v/>
      </c>
      <c r="D59" s="19" t="n">
        <v>376</v>
      </c>
      <c r="E59" s="18" t="n">
        <v>56.87939271</v>
      </c>
      <c r="F59" s="20" t="n">
        <v>2.77937708</v>
      </c>
      <c r="G59" s="18" t="n">
        <v>6.72609921</v>
      </c>
      <c r="H59" s="20" t="n">
        <v>1.6225146</v>
      </c>
      <c r="I59" s="18" t="s">
        <v>349</v>
      </c>
      <c r="J59" s="20" t="s">
        <v>349</v>
      </c>
      <c r="K59" s="18" t="n">
        <v>1.41782282</v>
      </c>
      <c r="L59" s="20" t="n">
        <v>0.49484559</v>
      </c>
      <c r="M59" s="18" t="n">
        <v>0</v>
      </c>
      <c r="N59" s="20" t="n">
        <v>0</v>
      </c>
      <c r="O59" s="18" t="n">
        <v>0</v>
      </c>
      <c r="P59" s="20" t="n">
        <v>0</v>
      </c>
      <c r="Q59" s="18" t="n">
        <v>34.97668525</v>
      </c>
      <c r="R59" s="20" t="n">
        <v>2.84526849</v>
      </c>
    </row>
    <row r="60" spans="1:18">
      <c r="A60" s="15" t="s">
        <v>402</v>
      </c>
      <c r="B60" s="17" t="n">
        <v>2451</v>
      </c>
      <c r="C60" s="18">
        <f>(2041.0/B60*100)</f>
        <v/>
      </c>
      <c r="D60" s="19" t="n">
        <v>410</v>
      </c>
      <c r="E60" s="18" t="n">
        <v>32.16083568</v>
      </c>
      <c r="F60" s="20" t="n">
        <v>2.55242602</v>
      </c>
      <c r="G60" s="18" t="n">
        <v>18.28579742</v>
      </c>
      <c r="H60" s="20" t="n">
        <v>1.95879</v>
      </c>
      <c r="I60" s="18" t="s">
        <v>349</v>
      </c>
      <c r="J60" s="20" t="s">
        <v>349</v>
      </c>
      <c r="K60" s="18" t="n">
        <v>9.312765629999999</v>
      </c>
      <c r="L60" s="20" t="n">
        <v>1.56550409</v>
      </c>
      <c r="M60" s="18" t="n">
        <v>0</v>
      </c>
      <c r="N60" s="20" t="n">
        <v>0</v>
      </c>
      <c r="O60" s="18" t="n">
        <v>0</v>
      </c>
      <c r="P60" s="20" t="n">
        <v>0</v>
      </c>
      <c r="Q60" s="18" t="n">
        <v>40.24060127</v>
      </c>
      <c r="R60" s="20" t="n">
        <v>2.60262608</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(2094.0/B63*100)</f>
        <v/>
      </c>
      <c r="D63" s="19" t="n">
        <v>417</v>
      </c>
      <c r="E63" s="18" t="n">
        <v>27.48341565</v>
      </c>
      <c r="F63" s="20" t="n">
        <v>2.33781305</v>
      </c>
      <c r="G63" s="18" t="n">
        <v>2.78873161</v>
      </c>
      <c r="H63" s="20" t="n">
        <v>0.90113838</v>
      </c>
      <c r="I63" s="18" t="s">
        <v>349</v>
      </c>
      <c r="J63" s="20" t="s">
        <v>349</v>
      </c>
      <c r="K63" s="18" t="n">
        <v>3.60036722</v>
      </c>
      <c r="L63" s="20" t="n">
        <v>0.89092689</v>
      </c>
      <c r="M63" s="18" t="n">
        <v>0</v>
      </c>
      <c r="N63" s="20" t="n">
        <v>0</v>
      </c>
      <c r="O63" s="18" t="n">
        <v>0</v>
      </c>
      <c r="P63" s="20" t="n">
        <v>0</v>
      </c>
      <c r="Q63" s="18" t="n">
        <v>66.12748551999999</v>
      </c>
      <c r="R63" s="20" t="n">
        <v>2.34020164</v>
      </c>
    </row>
    <row r="64" spans="1:18">
      <c r="A64" s="15" t="s">
        <v>406</v>
      </c>
      <c r="B64" s="17" t="n">
        <v>1790</v>
      </c>
      <c r="C64" s="18">
        <f>(1504.0/B64*100)</f>
        <v/>
      </c>
      <c r="D64" s="19" t="n">
        <v>286</v>
      </c>
      <c r="E64" s="18" t="n">
        <v>43.63036334</v>
      </c>
      <c r="F64" s="20" t="n">
        <v>2.66808631</v>
      </c>
      <c r="G64" s="18" t="n">
        <v>17.12130285</v>
      </c>
      <c r="H64" s="20" t="n">
        <v>2.28968893</v>
      </c>
      <c r="I64" s="18" t="s">
        <v>349</v>
      </c>
      <c r="J64" s="20" t="s">
        <v>349</v>
      </c>
      <c r="K64" s="18" t="n">
        <v>1.72653749</v>
      </c>
      <c r="L64" s="20" t="n">
        <v>0.93802372</v>
      </c>
      <c r="M64" s="18" t="n">
        <v>0</v>
      </c>
      <c r="N64" s="20" t="n">
        <v>0</v>
      </c>
      <c r="O64" s="18" t="n">
        <v>0</v>
      </c>
      <c r="P64" s="20" t="n">
        <v>0</v>
      </c>
      <c r="Q64" s="18" t="n">
        <v>37.52179632</v>
      </c>
      <c r="R64" s="20" t="n">
        <v>3.11233078</v>
      </c>
    </row>
    <row r="65" spans="1:18">
      <c r="A65" s="15" t="s">
        <v>407</v>
      </c>
      <c r="B65" s="17" t="n">
        <v>2634</v>
      </c>
      <c r="C65" s="18">
        <f>(2199.0/B65*100)</f>
        <v/>
      </c>
      <c r="D65" s="19" t="n">
        <v>435</v>
      </c>
      <c r="E65" s="18" t="n">
        <v>30.65719463</v>
      </c>
      <c r="F65" s="20" t="n">
        <v>2.23026674</v>
      </c>
      <c r="G65" s="18" t="n">
        <v>17.51437711</v>
      </c>
      <c r="H65" s="20" t="n">
        <v>1.99945853</v>
      </c>
      <c r="I65" s="18" t="s">
        <v>349</v>
      </c>
      <c r="J65" s="20" t="s">
        <v>349</v>
      </c>
      <c r="K65" s="18" t="n">
        <v>8.765048139999999</v>
      </c>
      <c r="L65" s="20" t="n">
        <v>1.28685533</v>
      </c>
      <c r="M65" s="18" t="n">
        <v>0</v>
      </c>
      <c r="N65" s="20" t="n">
        <v>0</v>
      </c>
      <c r="O65" s="18" t="n">
        <v>0</v>
      </c>
      <c r="P65" s="20" t="n">
        <v>0</v>
      </c>
      <c r="Q65" s="18" t="n">
        <v>43.06338013</v>
      </c>
      <c r="R65" s="20" t="n">
        <v>2.57395454</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(2062.0/B69*100)</f>
        <v/>
      </c>
      <c r="D69" s="19" t="n">
        <v>404</v>
      </c>
      <c r="E69" s="18" t="n">
        <v>78.74346691</v>
      </c>
      <c r="F69" s="20" t="n">
        <v>2.22850573</v>
      </c>
      <c r="G69" s="18" t="n">
        <v>20.31706308</v>
      </c>
      <c r="H69" s="20" t="n">
        <v>2.21398859</v>
      </c>
      <c r="I69" s="18" t="s">
        <v>349</v>
      </c>
      <c r="J69" s="20" t="s">
        <v>349</v>
      </c>
      <c r="K69" s="18" t="n">
        <v>0</v>
      </c>
      <c r="L69" s="20" t="n">
        <v>0</v>
      </c>
      <c r="M69" s="18" t="n">
        <v>0</v>
      </c>
      <c r="N69" s="20" t="n">
        <v>0</v>
      </c>
      <c r="O69" s="18" t="n">
        <v>0</v>
      </c>
      <c r="P69" s="20" t="n">
        <v>0</v>
      </c>
      <c r="Q69" s="18" t="n">
        <v>0.93947002</v>
      </c>
      <c r="R69" s="20" t="n">
        <v>0.47429566</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(2039.0/B74*100)</f>
        <v/>
      </c>
      <c r="D74" s="19" t="n">
        <v>414</v>
      </c>
      <c r="E74" s="18" t="n">
        <v>36.87799938</v>
      </c>
      <c r="F74" s="20" t="n">
        <v>2.71887547</v>
      </c>
      <c r="G74" s="18" t="n">
        <v>14.49140184</v>
      </c>
      <c r="H74" s="20" t="n">
        <v>1.97312665</v>
      </c>
      <c r="I74" s="18" t="s">
        <v>349</v>
      </c>
      <c r="J74" s="20" t="s">
        <v>349</v>
      </c>
      <c r="K74" s="18" t="n">
        <v>5.45000425</v>
      </c>
      <c r="L74" s="20" t="n">
        <v>1.21262701</v>
      </c>
      <c r="M74" s="18" t="n">
        <v>0</v>
      </c>
      <c r="N74" s="20" t="n">
        <v>0</v>
      </c>
      <c r="O74" s="18" t="n">
        <v>0</v>
      </c>
      <c r="P74" s="20" t="n">
        <v>0</v>
      </c>
      <c r="Q74" s="18" t="n">
        <v>43.18059453</v>
      </c>
      <c r="R74" s="20" t="n">
        <v>2.9191329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(2530.0/B78*100)</f>
        <v/>
      </c>
      <c r="D78" s="19" t="n">
        <v>510</v>
      </c>
      <c r="E78" s="18" t="n">
        <v>59.47625299</v>
      </c>
      <c r="F78" s="20" t="n">
        <v>2.69982416</v>
      </c>
      <c r="G78" s="18" t="n">
        <v>35.93215765</v>
      </c>
      <c r="H78" s="20" t="n">
        <v>2.60381996</v>
      </c>
      <c r="I78" s="18" t="s">
        <v>349</v>
      </c>
      <c r="J78" s="20" t="s">
        <v>349</v>
      </c>
      <c r="K78" s="18" t="n">
        <v>0</v>
      </c>
      <c r="L78" s="20" t="n">
        <v>0</v>
      </c>
      <c r="M78" s="18" t="n">
        <v>0</v>
      </c>
      <c r="N78" s="20" t="n">
        <v>0</v>
      </c>
      <c r="O78" s="18" t="n">
        <v>0</v>
      </c>
      <c r="P78" s="20" t="n">
        <v>0</v>
      </c>
      <c r="Q78" s="18" t="n">
        <v>4.59158936</v>
      </c>
      <c r="R78" s="20" t="n">
        <v>1.17415703</v>
      </c>
    </row>
    <row customHeight="1" ht="25" r="79" spans="1:18">
      <c r="A79" s="15" t="s">
        <v>421</v>
      </c>
      <c r="B79" s="17" t="n">
        <v>870</v>
      </c>
      <c r="C79" s="18">
        <f>(720.0/B79*100)</f>
        <v/>
      </c>
      <c r="D79" s="19" t="n">
        <v>150</v>
      </c>
      <c r="E79" s="18" t="n">
        <v>36.07556204</v>
      </c>
      <c r="F79" s="20" t="n">
        <v>3.42900363</v>
      </c>
      <c r="G79" s="18" t="n">
        <v>15.5001935</v>
      </c>
      <c r="H79" s="20" t="n">
        <v>2.72994433</v>
      </c>
      <c r="I79" s="18" t="s">
        <v>349</v>
      </c>
      <c r="J79" s="20" t="s">
        <v>349</v>
      </c>
      <c r="K79" s="18" t="n">
        <v>7.17686733</v>
      </c>
      <c r="L79" s="20" t="n">
        <v>2.21100986</v>
      </c>
      <c r="M79" s="18" t="n">
        <v>0</v>
      </c>
      <c r="N79" s="20" t="n">
        <v>0</v>
      </c>
      <c r="O79" s="18" t="n">
        <v>0</v>
      </c>
      <c r="P79" s="20" t="n">
        <v>0</v>
      </c>
      <c r="Q79" s="18" t="n">
        <v>41.24737713</v>
      </c>
      <c r="R79" s="20" t="n">
        <v>4.33421492</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(2238.0/B44*100)</f>
        <v/>
      </c>
      <c r="D44" s="19" t="n">
        <v>453</v>
      </c>
      <c r="E44" s="18" t="n">
        <v>69.19965276000001</v>
      </c>
      <c r="F44" s="20" t="n">
        <v>3.16709505</v>
      </c>
      <c r="G44" s="18" t="n">
        <v>8.865484739999999</v>
      </c>
      <c r="H44" s="20" t="n">
        <v>1.94295153</v>
      </c>
      <c r="I44" s="18" t="s">
        <v>349</v>
      </c>
      <c r="J44" s="20" t="s">
        <v>349</v>
      </c>
      <c r="K44" s="18" t="n">
        <v>4.80497715</v>
      </c>
      <c r="L44" s="20" t="n">
        <v>1.19048611</v>
      </c>
      <c r="M44" s="18" t="n">
        <v>0</v>
      </c>
      <c r="N44" s="20" t="n">
        <v>0</v>
      </c>
      <c r="O44" s="18" t="n">
        <v>0.48420125</v>
      </c>
      <c r="P44" s="20" t="n">
        <v>0.49015345</v>
      </c>
      <c r="Q44" s="18" t="n">
        <v>16.6456841</v>
      </c>
      <c r="R44" s="20" t="n">
        <v>2.04829134</v>
      </c>
    </row>
    <row r="45" spans="1:18">
      <c r="A45" s="15" t="s">
        <v>387</v>
      </c>
      <c r="B45" s="17" t="n">
        <v>2670</v>
      </c>
      <c r="C45" s="18">
        <f>(2216.0/B45*100)</f>
        <v/>
      </c>
      <c r="D45" s="19" t="n">
        <v>454</v>
      </c>
      <c r="E45" s="18" t="n">
        <v>71.75003673000001</v>
      </c>
      <c r="F45" s="20" t="n">
        <v>2.10467893</v>
      </c>
      <c r="G45" s="18" t="n">
        <v>3.36695008</v>
      </c>
      <c r="H45" s="20" t="n">
        <v>1.01283273</v>
      </c>
      <c r="I45" s="18" t="s">
        <v>349</v>
      </c>
      <c r="J45" s="20" t="s">
        <v>349</v>
      </c>
      <c r="K45" s="18" t="n">
        <v>9.98725516</v>
      </c>
      <c r="L45" s="20" t="n">
        <v>1.41919026</v>
      </c>
      <c r="M45" s="18" t="n">
        <v>0.9651098</v>
      </c>
      <c r="N45" s="20" t="n">
        <v>0.44554761</v>
      </c>
      <c r="O45" s="18" t="n">
        <v>3.4192762</v>
      </c>
      <c r="P45" s="20" t="n">
        <v>1.06046563</v>
      </c>
      <c r="Q45" s="18" t="n">
        <v>10.51137203</v>
      </c>
      <c r="R45" s="20" t="n">
        <v>1.27163569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(2777.0/B49*100)</f>
        <v/>
      </c>
      <c r="D49" s="19" t="n">
        <v>554</v>
      </c>
      <c r="E49" s="18" t="n">
        <v>70.09518487</v>
      </c>
      <c r="F49" s="20" t="n">
        <v>2.45557313</v>
      </c>
      <c r="G49" s="18" t="n">
        <v>5.91800435</v>
      </c>
      <c r="H49" s="20" t="n">
        <v>1.37335134</v>
      </c>
      <c r="I49" s="18" t="s">
        <v>349</v>
      </c>
      <c r="J49" s="20" t="s">
        <v>349</v>
      </c>
      <c r="K49" s="18" t="n">
        <v>3.49234047</v>
      </c>
      <c r="L49" s="20" t="n">
        <v>0.7949594</v>
      </c>
      <c r="M49" s="18" t="n">
        <v>0.22868473</v>
      </c>
      <c r="N49" s="20" t="n">
        <v>0.14567026</v>
      </c>
      <c r="O49" s="18" t="n">
        <v>1.72160343</v>
      </c>
      <c r="P49" s="20" t="n">
        <v>0.62603235</v>
      </c>
      <c r="Q49" s="18" t="n">
        <v>18.54418214</v>
      </c>
      <c r="R49" s="20" t="n">
        <v>2.13064995</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(2100.0/B55*100)</f>
        <v/>
      </c>
      <c r="D55" s="19" t="n">
        <v>457</v>
      </c>
      <c r="E55" s="18" t="n">
        <v>68.53078130999999</v>
      </c>
      <c r="F55" s="20" t="n">
        <v>2.0110427</v>
      </c>
      <c r="G55" s="18" t="n">
        <v>7.0464238</v>
      </c>
      <c r="H55" s="20" t="n">
        <v>1.17795074</v>
      </c>
      <c r="I55" s="18" t="s">
        <v>349</v>
      </c>
      <c r="J55" s="20" t="s">
        <v>349</v>
      </c>
      <c r="K55" s="18" t="n">
        <v>3.87615794</v>
      </c>
      <c r="L55" s="20" t="n">
        <v>0.91263576</v>
      </c>
      <c r="M55" s="18" t="n">
        <v>0</v>
      </c>
      <c r="N55" s="20" t="n">
        <v>0</v>
      </c>
      <c r="O55" s="18" t="n">
        <v>4.13446923</v>
      </c>
      <c r="P55" s="20" t="n">
        <v>0.91968313</v>
      </c>
      <c r="Q55" s="18" t="n">
        <v>16.41216773</v>
      </c>
      <c r="R55" s="20" t="n">
        <v>1.53010491</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(3119.0/B58*100)</f>
        <v/>
      </c>
      <c r="D58" s="19" t="n">
        <v>618</v>
      </c>
      <c r="E58" s="18" t="n">
        <v>81.04219824</v>
      </c>
      <c r="F58" s="20" t="n">
        <v>1.97210552</v>
      </c>
      <c r="G58" s="18" t="n">
        <v>4.511825</v>
      </c>
      <c r="H58" s="20" t="n">
        <v>1.55750928</v>
      </c>
      <c r="I58" s="18" t="s">
        <v>349</v>
      </c>
      <c r="J58" s="20" t="s">
        <v>349</v>
      </c>
      <c r="K58" s="18" t="n">
        <v>2.86942335</v>
      </c>
      <c r="L58" s="20" t="n">
        <v>0.72284129</v>
      </c>
      <c r="M58" s="18" t="n">
        <v>0</v>
      </c>
      <c r="N58" s="20" t="n">
        <v>0</v>
      </c>
      <c r="O58" s="18" t="n">
        <v>5.61941808</v>
      </c>
      <c r="P58" s="20" t="n">
        <v>1.19620946</v>
      </c>
      <c r="Q58" s="18" t="n">
        <v>5.95713533</v>
      </c>
      <c r="R58" s="20" t="n">
        <v>1.14153929</v>
      </c>
    </row>
    <row r="59" spans="1:18">
      <c r="A59" s="15" t="s">
        <v>401</v>
      </c>
      <c r="B59" s="17" t="n">
        <v>2278</v>
      </c>
      <c r="C59" s="18">
        <f>(1902.0/B59*100)</f>
        <v/>
      </c>
      <c r="D59" s="19" t="n">
        <v>376</v>
      </c>
      <c r="E59" s="18" t="n">
        <v>79.49205046</v>
      </c>
      <c r="F59" s="20" t="n">
        <v>2.33687672</v>
      </c>
      <c r="G59" s="18" t="n">
        <v>2.24335949</v>
      </c>
      <c r="H59" s="20" t="n">
        <v>0.81769504</v>
      </c>
      <c r="I59" s="18" t="s">
        <v>349</v>
      </c>
      <c r="J59" s="20" t="s">
        <v>349</v>
      </c>
      <c r="K59" s="18" t="n">
        <v>1.41782282</v>
      </c>
      <c r="L59" s="20" t="n">
        <v>0.49484559</v>
      </c>
      <c r="M59" s="18" t="n">
        <v>0.09959353999999999</v>
      </c>
      <c r="N59" s="20" t="n">
        <v>0.09994448</v>
      </c>
      <c r="O59" s="18" t="n">
        <v>2.70147426</v>
      </c>
      <c r="P59" s="20" t="n">
        <v>0.92582413</v>
      </c>
      <c r="Q59" s="18" t="n">
        <v>14.04569943</v>
      </c>
      <c r="R59" s="20" t="n">
        <v>2.08682954</v>
      </c>
    </row>
    <row r="60" spans="1:18">
      <c r="A60" s="15" t="s">
        <v>402</v>
      </c>
      <c r="B60" s="17" t="n">
        <v>2451</v>
      </c>
      <c r="C60" s="18">
        <f>(2041.0/B60*100)</f>
        <v/>
      </c>
      <c r="D60" s="19" t="n">
        <v>410</v>
      </c>
      <c r="E60" s="18" t="n">
        <v>49.36459036</v>
      </c>
      <c r="F60" s="20" t="n">
        <v>3.01892089</v>
      </c>
      <c r="G60" s="18" t="n">
        <v>4.01555567</v>
      </c>
      <c r="H60" s="20" t="n">
        <v>1.43046368</v>
      </c>
      <c r="I60" s="18" t="s">
        <v>349</v>
      </c>
      <c r="J60" s="20" t="s">
        <v>349</v>
      </c>
      <c r="K60" s="18" t="n">
        <v>9.597743579999999</v>
      </c>
      <c r="L60" s="20" t="n">
        <v>1.59688583</v>
      </c>
      <c r="M60" s="18" t="n">
        <v>5.62456952</v>
      </c>
      <c r="N60" s="20" t="n">
        <v>0.94481374</v>
      </c>
      <c r="O60" s="18" t="n">
        <v>10.35192077</v>
      </c>
      <c r="P60" s="20" t="n">
        <v>1.5707013</v>
      </c>
      <c r="Q60" s="18" t="n">
        <v>21.0456201</v>
      </c>
      <c r="R60" s="20" t="n">
        <v>2.24728622</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(2094.0/B63*100)</f>
        <v/>
      </c>
      <c r="D63" s="19" t="n">
        <v>417</v>
      </c>
      <c r="E63" s="18" t="n">
        <v>66.79402023999999</v>
      </c>
      <c r="F63" s="20" t="n">
        <v>2.69201807</v>
      </c>
      <c r="G63" s="18" t="n">
        <v>4.99050058</v>
      </c>
      <c r="H63" s="20" t="n">
        <v>1.39595594</v>
      </c>
      <c r="I63" s="18" t="s">
        <v>349</v>
      </c>
      <c r="J63" s="20" t="s">
        <v>349</v>
      </c>
      <c r="K63" s="18" t="n">
        <v>3.60036722</v>
      </c>
      <c r="L63" s="20" t="n">
        <v>0.89092689</v>
      </c>
      <c r="M63" s="18" t="n">
        <v>0</v>
      </c>
      <c r="N63" s="20" t="n">
        <v>0</v>
      </c>
      <c r="O63" s="18" t="n">
        <v>1.31965086</v>
      </c>
      <c r="P63" s="20" t="n">
        <v>0.6174036000000001</v>
      </c>
      <c r="Q63" s="18" t="n">
        <v>23.29546111</v>
      </c>
      <c r="R63" s="20" t="n">
        <v>2.27980195</v>
      </c>
    </row>
    <row r="64" spans="1:18">
      <c r="A64" s="15" t="s">
        <v>406</v>
      </c>
      <c r="B64" s="17" t="n">
        <v>1790</v>
      </c>
      <c r="C64" s="18">
        <f>(1504.0/B64*100)</f>
        <v/>
      </c>
      <c r="D64" s="19" t="n">
        <v>286</v>
      </c>
      <c r="E64" s="18" t="n">
        <v>64.03011268</v>
      </c>
      <c r="F64" s="20" t="n">
        <v>2.64739857</v>
      </c>
      <c r="G64" s="18" t="n">
        <v>19.93216515</v>
      </c>
      <c r="H64" s="20" t="n">
        <v>2.46971588</v>
      </c>
      <c r="I64" s="18" t="s">
        <v>349</v>
      </c>
      <c r="J64" s="20" t="s">
        <v>349</v>
      </c>
      <c r="K64" s="18" t="n">
        <v>1.72653749</v>
      </c>
      <c r="L64" s="20" t="n">
        <v>0.93802372</v>
      </c>
      <c r="M64" s="18" t="n">
        <v>0</v>
      </c>
      <c r="N64" s="20" t="n">
        <v>0</v>
      </c>
      <c r="O64" s="18" t="n">
        <v>6.8642479</v>
      </c>
      <c r="P64" s="20" t="n">
        <v>1.32643186</v>
      </c>
      <c r="Q64" s="18" t="n">
        <v>7.44693678</v>
      </c>
      <c r="R64" s="20" t="n">
        <v>1.79632359</v>
      </c>
    </row>
    <row r="65" spans="1:18">
      <c r="A65" s="15" t="s">
        <v>407</v>
      </c>
      <c r="B65" s="17" t="n">
        <v>2634</v>
      </c>
      <c r="C65" s="18">
        <f>(2199.0/B65*100)</f>
        <v/>
      </c>
      <c r="D65" s="19" t="n">
        <v>435</v>
      </c>
      <c r="E65" s="18" t="n">
        <v>51.27155934</v>
      </c>
      <c r="F65" s="20" t="n">
        <v>2.89151433</v>
      </c>
      <c r="G65" s="18" t="n">
        <v>9.08163753</v>
      </c>
      <c r="H65" s="20" t="n">
        <v>1.53571762</v>
      </c>
      <c r="I65" s="18" t="s">
        <v>349</v>
      </c>
      <c r="J65" s="20" t="s">
        <v>349</v>
      </c>
      <c r="K65" s="18" t="n">
        <v>8.98154529</v>
      </c>
      <c r="L65" s="20" t="n">
        <v>1.26366242</v>
      </c>
      <c r="M65" s="18" t="n">
        <v>10.1069396</v>
      </c>
      <c r="N65" s="20" t="n">
        <v>1.23834327</v>
      </c>
      <c r="O65" s="18" t="n">
        <v>1.33416002</v>
      </c>
      <c r="P65" s="20" t="n">
        <v>0.58745737</v>
      </c>
      <c r="Q65" s="18" t="n">
        <v>19.22415823</v>
      </c>
      <c r="R65" s="20" t="n">
        <v>1.98975047</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(2062.0/B69*100)</f>
        <v/>
      </c>
      <c r="D69" s="19" t="n">
        <v>404</v>
      </c>
      <c r="E69" s="18" t="n">
        <v>87.54180117999999</v>
      </c>
      <c r="F69" s="20" t="n">
        <v>1.7288014</v>
      </c>
      <c r="G69" s="18" t="n">
        <v>9.33250819</v>
      </c>
      <c r="H69" s="20" t="n">
        <v>1.5760579</v>
      </c>
      <c r="I69" s="18" t="s">
        <v>349</v>
      </c>
      <c r="J69" s="20" t="s">
        <v>349</v>
      </c>
      <c r="K69" s="18" t="n">
        <v>0</v>
      </c>
      <c r="L69" s="20" t="n">
        <v>0</v>
      </c>
      <c r="M69" s="18" t="n">
        <v>0</v>
      </c>
      <c r="N69" s="20" t="n">
        <v>0</v>
      </c>
      <c r="O69" s="18" t="n">
        <v>0</v>
      </c>
      <c r="P69" s="20" t="n">
        <v>0</v>
      </c>
      <c r="Q69" s="18" t="n">
        <v>3.12569064</v>
      </c>
      <c r="R69" s="20" t="n">
        <v>0.92313417</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(2039.0/B74*100)</f>
        <v/>
      </c>
      <c r="D74" s="19" t="n">
        <v>414</v>
      </c>
      <c r="E74" s="18" t="n">
        <v>70.51118683</v>
      </c>
      <c r="F74" s="20" t="n">
        <v>2.57234935</v>
      </c>
      <c r="G74" s="18" t="n">
        <v>9.319052510000001</v>
      </c>
      <c r="H74" s="20" t="n">
        <v>1.67193655</v>
      </c>
      <c r="I74" s="18" t="s">
        <v>349</v>
      </c>
      <c r="J74" s="20" t="s">
        <v>349</v>
      </c>
      <c r="K74" s="18" t="n">
        <v>5.45000425</v>
      </c>
      <c r="L74" s="20" t="n">
        <v>1.21262701</v>
      </c>
      <c r="M74" s="18" t="n">
        <v>0</v>
      </c>
      <c r="N74" s="20" t="n">
        <v>0</v>
      </c>
      <c r="O74" s="18" t="n">
        <v>4.11313272</v>
      </c>
      <c r="P74" s="20" t="n">
        <v>0.89009935</v>
      </c>
      <c r="Q74" s="18" t="n">
        <v>10.60662369</v>
      </c>
      <c r="R74" s="20" t="n">
        <v>1.88713172</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(2530.0/B78*100)</f>
        <v/>
      </c>
      <c r="D78" s="19" t="n">
        <v>510</v>
      </c>
      <c r="E78" s="18" t="n">
        <v>82.05237223</v>
      </c>
      <c r="F78" s="20" t="n">
        <v>1.97184937</v>
      </c>
      <c r="G78" s="18" t="n">
        <v>16.06337916</v>
      </c>
      <c r="H78" s="20" t="n">
        <v>1.9337784</v>
      </c>
      <c r="I78" s="18" t="s">
        <v>349</v>
      </c>
      <c r="J78" s="20" t="s">
        <v>349</v>
      </c>
      <c r="K78" s="18" t="n">
        <v>0</v>
      </c>
      <c r="L78" s="20" t="n">
        <v>0</v>
      </c>
      <c r="M78" s="18" t="n">
        <v>0</v>
      </c>
      <c r="N78" s="20" t="n">
        <v>0</v>
      </c>
      <c r="O78" s="18" t="n">
        <v>1.46488954</v>
      </c>
      <c r="P78" s="20" t="n">
        <v>0.74769699</v>
      </c>
      <c r="Q78" s="18" t="n">
        <v>0.41935906</v>
      </c>
      <c r="R78" s="20" t="n">
        <v>0.3731075</v>
      </c>
    </row>
    <row customHeight="1" ht="25" r="79" spans="1:18">
      <c r="A79" s="15" t="s">
        <v>421</v>
      </c>
      <c r="B79" s="17" t="n">
        <v>870</v>
      </c>
      <c r="C79" s="18">
        <f>(720.0/B79*100)</f>
        <v/>
      </c>
      <c r="D79" s="19" t="n">
        <v>150</v>
      </c>
      <c r="E79" s="18" t="n">
        <v>60.48095785</v>
      </c>
      <c r="F79" s="20" t="n">
        <v>4.6281766</v>
      </c>
      <c r="G79" s="18" t="n">
        <v>8.10561246</v>
      </c>
      <c r="H79" s="20" t="n">
        <v>2.76986123</v>
      </c>
      <c r="I79" s="18" t="s">
        <v>349</v>
      </c>
      <c r="J79" s="20" t="s">
        <v>349</v>
      </c>
      <c r="K79" s="18" t="n">
        <v>7.17686733</v>
      </c>
      <c r="L79" s="20" t="n">
        <v>2.21100986</v>
      </c>
      <c r="M79" s="18" t="n">
        <v>1.21295951</v>
      </c>
      <c r="N79" s="20" t="n">
        <v>0.8532560300000001</v>
      </c>
      <c r="O79" s="18" t="n">
        <v>2.90624526</v>
      </c>
      <c r="P79" s="20" t="n">
        <v>1.36834643</v>
      </c>
      <c r="Q79" s="18" t="n">
        <v>20.1173576</v>
      </c>
      <c r="R79" s="20" t="n">
        <v>2.77954355</v>
      </c>
    </row>
    <row r="80" spans="1:18">
      <c r="A80" s="15" t="s">
        <v>422</v>
      </c>
      <c r="B80" s="17" t="n">
        <v>4043</v>
      </c>
      <c r="C80" s="18">
        <f>(3356.0/B80*100)</f>
        <v/>
      </c>
      <c r="D80" s="19" t="n">
        <v>687</v>
      </c>
      <c r="E80" s="18" t="n">
        <v>65.30961796</v>
      </c>
      <c r="F80" s="20" t="n">
        <v>3.14830906</v>
      </c>
      <c r="G80" s="18" t="n">
        <v>33.64828024</v>
      </c>
      <c r="H80" s="20" t="n">
        <v>3.06990754</v>
      </c>
      <c r="I80" s="18" t="s">
        <v>349</v>
      </c>
      <c r="J80" s="20" t="s">
        <v>349</v>
      </c>
      <c r="K80" s="18" t="n">
        <v>0.28483686</v>
      </c>
      <c r="L80" s="20" t="n">
        <v>0.21072116</v>
      </c>
      <c r="M80" s="18" t="n">
        <v>0</v>
      </c>
      <c r="N80" s="20" t="n">
        <v>0</v>
      </c>
      <c r="O80" s="18" t="n">
        <v>0</v>
      </c>
      <c r="P80" s="20" t="n">
        <v>0</v>
      </c>
      <c r="Q80" s="18" t="n">
        <v>0.75726494</v>
      </c>
      <c r="R80" s="20" t="n">
        <v>0.41492931</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(2238.0/B44*100)</f>
        <v/>
      </c>
      <c r="D44" s="19" t="n">
        <v>453</v>
      </c>
      <c r="E44" s="18" t="n">
        <v>9.205875689999999</v>
      </c>
      <c r="F44" s="20" t="n">
        <v>1.42826862</v>
      </c>
      <c r="G44" s="18" t="n">
        <v>83.90646416</v>
      </c>
      <c r="H44" s="20" t="n">
        <v>1.98791768</v>
      </c>
      <c r="I44" s="18" t="s">
        <v>349</v>
      </c>
      <c r="J44" s="20" t="s">
        <v>349</v>
      </c>
      <c r="K44" s="18" t="n">
        <v>6.88766015</v>
      </c>
      <c r="L44" s="20" t="n">
        <v>1.40223515</v>
      </c>
      <c r="M44" s="18" t="n">
        <v>0</v>
      </c>
      <c r="N44" s="20" t="n">
        <v>0</v>
      </c>
      <c r="O44" s="18" t="n">
        <v>0</v>
      </c>
      <c r="P44" s="20" t="n">
        <v>0</v>
      </c>
      <c r="Q44" s="18" t="n">
        <v>0</v>
      </c>
      <c r="R44" s="20" t="n">
        <v>0</v>
      </c>
    </row>
    <row r="45" spans="1:18">
      <c r="A45" s="15" t="s">
        <v>387</v>
      </c>
      <c r="B45" s="17" t="n">
        <v>2670</v>
      </c>
      <c r="C45" s="18">
        <f>(2216.0/B45*100)</f>
        <v/>
      </c>
      <c r="D45" s="19" t="n">
        <v>454</v>
      </c>
      <c r="E45" s="18" t="n">
        <v>0</v>
      </c>
      <c r="F45" s="20" t="n">
        <v>0</v>
      </c>
      <c r="G45" s="18" t="n">
        <v>0</v>
      </c>
      <c r="H45" s="20" t="n">
        <v>0</v>
      </c>
      <c r="I45" s="18" t="s">
        <v>349</v>
      </c>
      <c r="J45" s="20" t="s">
        <v>349</v>
      </c>
      <c r="K45" s="18" t="n">
        <v>0</v>
      </c>
      <c r="L45" s="20" t="n">
        <v>0</v>
      </c>
      <c r="M45" s="18" t="n">
        <v>100</v>
      </c>
      <c r="N45" s="20" t="n">
        <v>0</v>
      </c>
      <c r="O45" s="18" t="n">
        <v>0</v>
      </c>
      <c r="P45" s="20" t="n">
        <v>0</v>
      </c>
      <c r="Q45" s="18" t="n">
        <v>0</v>
      </c>
      <c r="R45" s="20" t="n">
        <v>0</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(2777.0/B49*100)</f>
        <v/>
      </c>
      <c r="D49" s="19" t="n">
        <v>554</v>
      </c>
      <c r="E49" s="18" t="n">
        <v>8.07147943</v>
      </c>
      <c r="F49" s="20" t="n">
        <v>1.49433915</v>
      </c>
      <c r="G49" s="18" t="n">
        <v>88.07243056</v>
      </c>
      <c r="H49" s="20" t="n">
        <v>1.61937752</v>
      </c>
      <c r="I49" s="18" t="s">
        <v>349</v>
      </c>
      <c r="J49" s="20" t="s">
        <v>349</v>
      </c>
      <c r="K49" s="18" t="n">
        <v>3.5448891</v>
      </c>
      <c r="L49" s="20" t="n">
        <v>0.79667243</v>
      </c>
      <c r="M49" s="18" t="n">
        <v>0</v>
      </c>
      <c r="N49" s="20" t="n">
        <v>0</v>
      </c>
      <c r="O49" s="18" t="n">
        <v>0.31120091</v>
      </c>
      <c r="P49" s="20" t="n">
        <v>0.31164507</v>
      </c>
      <c r="Q49" s="18" t="n">
        <v>0</v>
      </c>
      <c r="R49" s="20" t="n">
        <v>0</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(2100.0/B55*100)</f>
        <v/>
      </c>
      <c r="D55" s="19" t="n">
        <v>457</v>
      </c>
      <c r="E55" s="18" t="n">
        <v>16.14289955</v>
      </c>
      <c r="F55" s="20" t="n">
        <v>2.10346989</v>
      </c>
      <c r="G55" s="18" t="n">
        <v>79.56610956999999</v>
      </c>
      <c r="H55" s="20" t="n">
        <v>2.32848585</v>
      </c>
      <c r="I55" s="18" t="s">
        <v>349</v>
      </c>
      <c r="J55" s="20" t="s">
        <v>349</v>
      </c>
      <c r="K55" s="18" t="n">
        <v>4.29099088</v>
      </c>
      <c r="L55" s="20" t="n">
        <v>0.94818875</v>
      </c>
      <c r="M55" s="18" t="n">
        <v>0</v>
      </c>
      <c r="N55" s="20" t="n">
        <v>0</v>
      </c>
      <c r="O55" s="18" t="n">
        <v>0</v>
      </c>
      <c r="P55" s="20" t="n">
        <v>0</v>
      </c>
      <c r="Q55" s="18" t="n">
        <v>0</v>
      </c>
      <c r="R55" s="20" t="n">
        <v>0</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(2786.0/B57*100)</f>
        <v/>
      </c>
      <c r="D57" s="19" t="n">
        <v>557</v>
      </c>
      <c r="E57" s="18" t="n">
        <v>13.12674036</v>
      </c>
      <c r="F57" s="20" t="n">
        <v>1.60009778</v>
      </c>
      <c r="G57" s="18" t="n">
        <v>82.53626383</v>
      </c>
      <c r="H57" s="20" t="n">
        <v>1.63967274</v>
      </c>
      <c r="I57" s="18" t="s">
        <v>349</v>
      </c>
      <c r="J57" s="20" t="s">
        <v>349</v>
      </c>
      <c r="K57" s="18" t="n">
        <v>4.33699581</v>
      </c>
      <c r="L57" s="20" t="n">
        <v>0.9490539</v>
      </c>
      <c r="M57" s="18" t="n">
        <v>0</v>
      </c>
      <c r="N57" s="20" t="n">
        <v>0</v>
      </c>
      <c r="O57" s="18" t="n">
        <v>0</v>
      </c>
      <c r="P57" s="20" t="n">
        <v>0</v>
      </c>
      <c r="Q57" s="18" t="n">
        <v>0</v>
      </c>
      <c r="R57" s="20" t="n">
        <v>0</v>
      </c>
    </row>
    <row r="58" spans="1:18">
      <c r="A58" s="15" t="s">
        <v>400</v>
      </c>
      <c r="B58" s="17" t="n">
        <v>3737</v>
      </c>
      <c r="C58" s="18">
        <f>(3119.0/B58*100)</f>
        <v/>
      </c>
      <c r="D58" s="19" t="n">
        <v>618</v>
      </c>
      <c r="E58" s="18" t="n">
        <v>19.13592163</v>
      </c>
      <c r="F58" s="20" t="n">
        <v>2.33131834</v>
      </c>
      <c r="G58" s="18" t="n">
        <v>77.26120361</v>
      </c>
      <c r="H58" s="20" t="n">
        <v>2.40333103</v>
      </c>
      <c r="I58" s="18" t="s">
        <v>349</v>
      </c>
      <c r="J58" s="20" t="s">
        <v>349</v>
      </c>
      <c r="K58" s="18" t="n">
        <v>3.30847713</v>
      </c>
      <c r="L58" s="20" t="n">
        <v>0.78300707</v>
      </c>
      <c r="M58" s="18" t="n">
        <v>0</v>
      </c>
      <c r="N58" s="20" t="n">
        <v>0</v>
      </c>
      <c r="O58" s="18" t="n">
        <v>0.29439763</v>
      </c>
      <c r="P58" s="20" t="n">
        <v>0.1890782</v>
      </c>
      <c r="Q58" s="18" t="n">
        <v>0</v>
      </c>
      <c r="R58" s="20" t="n">
        <v>0</v>
      </c>
    </row>
    <row r="59" spans="1:18">
      <c r="A59" s="15" t="s">
        <v>401</v>
      </c>
      <c r="B59" s="17" t="n">
        <v>2278</v>
      </c>
      <c r="C59" s="18">
        <f>(1902.0/B59*100)</f>
        <v/>
      </c>
      <c r="D59" s="19" t="n">
        <v>376</v>
      </c>
      <c r="E59" s="18" t="n">
        <v>17.79123398</v>
      </c>
      <c r="F59" s="20" t="n">
        <v>2.45037055</v>
      </c>
      <c r="G59" s="18" t="n">
        <v>80.10086454</v>
      </c>
      <c r="H59" s="20" t="n">
        <v>2.5753145</v>
      </c>
      <c r="I59" s="18" t="s">
        <v>349</v>
      </c>
      <c r="J59" s="20" t="s">
        <v>349</v>
      </c>
      <c r="K59" s="18" t="n">
        <v>2.10790149</v>
      </c>
      <c r="L59" s="20" t="n">
        <v>0.743196</v>
      </c>
      <c r="M59" s="18" t="n">
        <v>0</v>
      </c>
      <c r="N59" s="20" t="n">
        <v>0</v>
      </c>
      <c r="O59" s="18" t="n">
        <v>0</v>
      </c>
      <c r="P59" s="20" t="n">
        <v>0</v>
      </c>
      <c r="Q59" s="18" t="n">
        <v>0</v>
      </c>
      <c r="R59" s="20" t="n">
        <v>0</v>
      </c>
    </row>
    <row r="60" spans="1:18">
      <c r="A60" s="15" t="s">
        <v>402</v>
      </c>
      <c r="B60" s="17" t="n">
        <v>2451</v>
      </c>
      <c r="C60" s="18">
        <f>(2041.0/B60*100)</f>
        <v/>
      </c>
      <c r="D60" s="19" t="n">
        <v>410</v>
      </c>
      <c r="E60" s="18" t="n">
        <v>21.99573394</v>
      </c>
      <c r="F60" s="20" t="n">
        <v>2.34184562</v>
      </c>
      <c r="G60" s="18" t="n">
        <v>65.62304077</v>
      </c>
      <c r="H60" s="20" t="n">
        <v>2.64275578</v>
      </c>
      <c r="I60" s="18" t="s">
        <v>349</v>
      </c>
      <c r="J60" s="20" t="s">
        <v>349</v>
      </c>
      <c r="K60" s="18" t="n">
        <v>11.80713132</v>
      </c>
      <c r="L60" s="20" t="n">
        <v>1.92224631</v>
      </c>
      <c r="M60" s="18" t="n">
        <v>0</v>
      </c>
      <c r="N60" s="20" t="n">
        <v>0</v>
      </c>
      <c r="O60" s="18" t="n">
        <v>0.57409398</v>
      </c>
      <c r="P60" s="20" t="n">
        <v>0.43528653</v>
      </c>
      <c r="Q60" s="18" t="n">
        <v>0</v>
      </c>
      <c r="R60" s="20" t="n">
        <v>0</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(2094.0/B63*100)</f>
        <v/>
      </c>
      <c r="D63" s="19" t="n">
        <v>417</v>
      </c>
      <c r="E63" s="18" t="n">
        <v>19.66950529</v>
      </c>
      <c r="F63" s="20" t="n">
        <v>2.1132884</v>
      </c>
      <c r="G63" s="18" t="n">
        <v>75.09762445</v>
      </c>
      <c r="H63" s="20" t="n">
        <v>2.3411108</v>
      </c>
      <c r="I63" s="18" t="s">
        <v>349</v>
      </c>
      <c r="J63" s="20" t="s">
        <v>349</v>
      </c>
      <c r="K63" s="18" t="n">
        <v>5.09616274</v>
      </c>
      <c r="L63" s="20" t="n">
        <v>1.06356957</v>
      </c>
      <c r="M63" s="18" t="n">
        <v>0</v>
      </c>
      <c r="N63" s="20" t="n">
        <v>0</v>
      </c>
      <c r="O63" s="18" t="n">
        <v>0.13670752</v>
      </c>
      <c r="P63" s="20" t="n">
        <v>0.13909511</v>
      </c>
      <c r="Q63" s="18" t="n">
        <v>0</v>
      </c>
      <c r="R63" s="20" t="n">
        <v>0</v>
      </c>
    </row>
    <row r="64" spans="1:18">
      <c r="A64" s="15" t="s">
        <v>406</v>
      </c>
      <c r="B64" s="17" t="n">
        <v>1790</v>
      </c>
      <c r="C64" s="18">
        <f>(1504.0/B64*100)</f>
        <v/>
      </c>
      <c r="D64" s="19" t="n">
        <v>286</v>
      </c>
      <c r="E64" s="18" t="n">
        <v>16.41248089</v>
      </c>
      <c r="F64" s="20" t="n">
        <v>2.01919929</v>
      </c>
      <c r="G64" s="18" t="n">
        <v>81.86098162</v>
      </c>
      <c r="H64" s="20" t="n">
        <v>2.07896835</v>
      </c>
      <c r="I64" s="18" t="s">
        <v>349</v>
      </c>
      <c r="J64" s="20" t="s">
        <v>349</v>
      </c>
      <c r="K64" s="18" t="n">
        <v>1.72653749</v>
      </c>
      <c r="L64" s="20" t="n">
        <v>0.93802372</v>
      </c>
      <c r="M64" s="18" t="n">
        <v>0</v>
      </c>
      <c r="N64" s="20" t="n">
        <v>0</v>
      </c>
      <c r="O64" s="18" t="n">
        <v>0</v>
      </c>
      <c r="P64" s="20" t="n">
        <v>0</v>
      </c>
      <c r="Q64" s="18" t="n">
        <v>0</v>
      </c>
      <c r="R64" s="20" t="n">
        <v>0</v>
      </c>
    </row>
    <row r="65" spans="1:18">
      <c r="A65" s="15" t="s">
        <v>407</v>
      </c>
      <c r="B65" s="17" t="n">
        <v>2634</v>
      </c>
      <c r="C65" s="18">
        <f>(2199.0/B65*100)</f>
        <v/>
      </c>
      <c r="D65" s="19" t="n">
        <v>435</v>
      </c>
      <c r="E65" s="18" t="n">
        <v>11.22052732</v>
      </c>
      <c r="F65" s="20" t="n">
        <v>1.69341889</v>
      </c>
      <c r="G65" s="18" t="n">
        <v>79.36406466</v>
      </c>
      <c r="H65" s="20" t="n">
        <v>2.06409375</v>
      </c>
      <c r="I65" s="18" t="s">
        <v>349</v>
      </c>
      <c r="J65" s="20" t="s">
        <v>349</v>
      </c>
      <c r="K65" s="18" t="n">
        <v>9.195938910000001</v>
      </c>
      <c r="L65" s="20" t="n">
        <v>1.2886224</v>
      </c>
      <c r="M65" s="18" t="n">
        <v>0.21946911</v>
      </c>
      <c r="N65" s="20" t="n">
        <v>0.21750127</v>
      </c>
      <c r="O65" s="18" t="n">
        <v>0</v>
      </c>
      <c r="P65" s="20" t="n">
        <v>0</v>
      </c>
      <c r="Q65" s="18" t="n">
        <v>0</v>
      </c>
      <c r="R65" s="20" t="n">
        <v>0</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(2062.0/B69*100)</f>
        <v/>
      </c>
      <c r="D69" s="19" t="n">
        <v>404</v>
      </c>
      <c r="E69" s="18" t="n">
        <v>16.86951309</v>
      </c>
      <c r="F69" s="20" t="n">
        <v>1.91791959</v>
      </c>
      <c r="G69" s="18" t="n">
        <v>83.13048691</v>
      </c>
      <c r="H69" s="20" t="n">
        <v>1.91791959</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(2039.0/B74*100)</f>
        <v/>
      </c>
      <c r="D74" s="19" t="n">
        <v>414</v>
      </c>
      <c r="E74" s="18" t="n">
        <v>11.70571102</v>
      </c>
      <c r="F74" s="20" t="n">
        <v>1.53946216</v>
      </c>
      <c r="G74" s="18" t="n">
        <v>81.73305455000001</v>
      </c>
      <c r="H74" s="20" t="n">
        <v>1.82365338</v>
      </c>
      <c r="I74" s="18" t="s">
        <v>349</v>
      </c>
      <c r="J74" s="20" t="s">
        <v>349</v>
      </c>
      <c r="K74" s="18" t="n">
        <v>6.56123444</v>
      </c>
      <c r="L74" s="20" t="n">
        <v>1.32491862</v>
      </c>
      <c r="M74" s="18" t="n">
        <v>0</v>
      </c>
      <c r="N74" s="20" t="n">
        <v>0</v>
      </c>
      <c r="O74" s="18" t="n">
        <v>0</v>
      </c>
      <c r="P74" s="20" t="n">
        <v>0</v>
      </c>
      <c r="Q74" s="18" t="n">
        <v>0</v>
      </c>
      <c r="R74" s="20" t="n">
        <v>0</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(2530.0/B78*100)</f>
        <v/>
      </c>
      <c r="D78" s="19" t="n">
        <v>510</v>
      </c>
      <c r="E78" s="18" t="n">
        <v>6.6867512</v>
      </c>
      <c r="F78" s="20" t="n">
        <v>1.37525521</v>
      </c>
      <c r="G78" s="18" t="n">
        <v>93.3132488</v>
      </c>
      <c r="H78" s="20" t="n">
        <v>1.37525521</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(720.0/B79*100)</f>
        <v/>
      </c>
      <c r="D79" s="19" t="n">
        <v>150</v>
      </c>
      <c r="E79" s="18" t="n">
        <v>3.78249477</v>
      </c>
      <c r="F79" s="20" t="n">
        <v>1.06241305</v>
      </c>
      <c r="G79" s="18" t="n">
        <v>88.42658315</v>
      </c>
      <c r="H79" s="20" t="n">
        <v>2.77309598</v>
      </c>
      <c r="I79" s="18" t="s">
        <v>349</v>
      </c>
      <c r="J79" s="20" t="s">
        <v>349</v>
      </c>
      <c r="K79" s="18" t="n">
        <v>7.79092207</v>
      </c>
      <c r="L79" s="20" t="n">
        <v>2.29421038</v>
      </c>
      <c r="M79" s="18" t="n">
        <v>0</v>
      </c>
      <c r="N79" s="20" t="n">
        <v>0</v>
      </c>
      <c r="O79" s="18" t="n">
        <v>0</v>
      </c>
      <c r="P79" s="20" t="n">
        <v>0</v>
      </c>
      <c r="Q79" s="18" t="n">
        <v>0</v>
      </c>
      <c r="R79" s="20" t="n">
        <v>0</v>
      </c>
    </row>
    <row r="80" spans="1:18">
      <c r="A80" s="15" t="s">
        <v>422</v>
      </c>
      <c r="B80" s="17" t="n">
        <v>4043</v>
      </c>
      <c r="C80" s="18">
        <f>(3356.0/B80*100)</f>
        <v/>
      </c>
      <c r="D80" s="19" t="n">
        <v>687</v>
      </c>
      <c r="E80" s="18" t="n">
        <v>10.0793108</v>
      </c>
      <c r="F80" s="20" t="n">
        <v>1.47081521</v>
      </c>
      <c r="G80" s="18" t="n">
        <v>89.40688211</v>
      </c>
      <c r="H80" s="20" t="n">
        <v>1.4696912</v>
      </c>
      <c r="I80" s="18" t="s">
        <v>349</v>
      </c>
      <c r="J80" s="20" t="s">
        <v>349</v>
      </c>
      <c r="K80" s="18" t="n">
        <v>0.5138071</v>
      </c>
      <c r="L80" s="20" t="n">
        <v>0.38797384</v>
      </c>
      <c r="M80" s="18" t="n">
        <v>0</v>
      </c>
      <c r="N80" s="20" t="n">
        <v>0</v>
      </c>
      <c r="O80" s="18" t="n">
        <v>0</v>
      </c>
      <c r="P80" s="20" t="n">
        <v>0</v>
      </c>
      <c r="Q80" s="18" t="n">
        <v>0</v>
      </c>
      <c r="R80" s="20" t="n">
        <v>0</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569</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(2239.0/B44*100)</f>
        <v/>
      </c>
      <c r="D44" s="19" t="n">
        <v>452</v>
      </c>
      <c r="E44" s="18" t="n">
        <v>16.77635722</v>
      </c>
      <c r="F44" s="20" t="n">
        <v>1.97335844</v>
      </c>
      <c r="G44" s="18" t="n">
        <v>79.21807272</v>
      </c>
      <c r="H44" s="20" t="n">
        <v>2.01296025</v>
      </c>
      <c r="I44" s="18" t="s">
        <v>349</v>
      </c>
      <c r="J44" s="20" t="s">
        <v>349</v>
      </c>
      <c r="K44" s="18" t="n">
        <v>0.98221496</v>
      </c>
      <c r="L44" s="20" t="n">
        <v>0.50528998</v>
      </c>
      <c r="M44" s="18" t="n">
        <v>0</v>
      </c>
      <c r="N44" s="20" t="n">
        <v>0</v>
      </c>
      <c r="O44" s="18" t="n">
        <v>0</v>
      </c>
      <c r="P44" s="20" t="n">
        <v>0</v>
      </c>
      <c r="Q44" s="18" t="n">
        <v>3.0233551</v>
      </c>
      <c r="R44" s="20" t="n">
        <v>1.15760502</v>
      </c>
    </row>
    <row r="45" spans="1:18">
      <c r="A45" s="15" t="s">
        <v>387</v>
      </c>
      <c r="B45" s="17" t="n">
        <v>2670</v>
      </c>
      <c r="C45" s="18">
        <f>(2262.0/B45*100)</f>
        <v/>
      </c>
      <c r="D45" s="19" t="n">
        <v>408</v>
      </c>
      <c r="E45" s="18" t="n">
        <v>20.9861692</v>
      </c>
      <c r="F45" s="20" t="n">
        <v>1.74136364</v>
      </c>
      <c r="G45" s="18" t="n">
        <v>70.3291591</v>
      </c>
      <c r="H45" s="20" t="n">
        <v>2.52496679</v>
      </c>
      <c r="I45" s="18" t="s">
        <v>349</v>
      </c>
      <c r="J45" s="20" t="s">
        <v>349</v>
      </c>
      <c r="K45" s="18" t="n">
        <v>3.92381431</v>
      </c>
      <c r="L45" s="20" t="n">
        <v>0.99693969</v>
      </c>
      <c r="M45" s="18" t="n">
        <v>0</v>
      </c>
      <c r="N45" s="20" t="n">
        <v>0</v>
      </c>
      <c r="O45" s="18" t="n">
        <v>0.35632104</v>
      </c>
      <c r="P45" s="20" t="n">
        <v>0.33774757</v>
      </c>
      <c r="Q45" s="18" t="n">
        <v>4.40453634</v>
      </c>
      <c r="R45" s="20" t="n">
        <v>1.35037194</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(2794.0/B49*100)</f>
        <v/>
      </c>
      <c r="D49" s="19" t="n">
        <v>537</v>
      </c>
      <c r="E49" s="18" t="n">
        <v>22.6191163</v>
      </c>
      <c r="F49" s="20" t="n">
        <v>2.05691464</v>
      </c>
      <c r="G49" s="18" t="n">
        <v>73.82043081</v>
      </c>
      <c r="H49" s="20" t="n">
        <v>2.10263105</v>
      </c>
      <c r="I49" s="18" t="s">
        <v>349</v>
      </c>
      <c r="J49" s="20" t="s">
        <v>349</v>
      </c>
      <c r="K49" s="18" t="n">
        <v>1.14345152</v>
      </c>
      <c r="L49" s="20" t="n">
        <v>0.5543978000000001</v>
      </c>
      <c r="M49" s="18" t="n">
        <v>0</v>
      </c>
      <c r="N49" s="20" t="n">
        <v>0</v>
      </c>
      <c r="O49" s="18" t="n">
        <v>0</v>
      </c>
      <c r="P49" s="20" t="n">
        <v>0</v>
      </c>
      <c r="Q49" s="18" t="n">
        <v>2.41700137</v>
      </c>
      <c r="R49" s="20" t="n">
        <v>0.59997735</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(2122.0/B55*100)</f>
        <v/>
      </c>
      <c r="D55" s="19" t="n">
        <v>435</v>
      </c>
      <c r="E55" s="18" t="n">
        <v>19.45243296</v>
      </c>
      <c r="F55" s="20" t="n">
        <v>2.19851267</v>
      </c>
      <c r="G55" s="18" t="n">
        <v>74.65689630999999</v>
      </c>
      <c r="H55" s="20" t="n">
        <v>2.3483759</v>
      </c>
      <c r="I55" s="18" t="s">
        <v>349</v>
      </c>
      <c r="J55" s="20" t="s">
        <v>349</v>
      </c>
      <c r="K55" s="18" t="n">
        <v>0.78369244</v>
      </c>
      <c r="L55" s="20" t="n">
        <v>0.40923879</v>
      </c>
      <c r="M55" s="18" t="n">
        <v>0</v>
      </c>
      <c r="N55" s="20" t="n">
        <v>0</v>
      </c>
      <c r="O55" s="18" t="n">
        <v>0</v>
      </c>
      <c r="P55" s="20" t="n">
        <v>0</v>
      </c>
      <c r="Q55" s="18" t="n">
        <v>5.10697828</v>
      </c>
      <c r="R55" s="20" t="n">
        <v>1.04612376</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(2817.0/B57*100)</f>
        <v/>
      </c>
      <c r="D57" s="19" t="n">
        <v>526</v>
      </c>
      <c r="E57" s="18" t="n">
        <v>0</v>
      </c>
      <c r="F57" s="20" t="n">
        <v>0</v>
      </c>
      <c r="G57" s="18" t="n">
        <v>0</v>
      </c>
      <c r="H57" s="20" t="n">
        <v>0</v>
      </c>
      <c r="I57" s="18" t="s">
        <v>349</v>
      </c>
      <c r="J57" s="20" t="s">
        <v>349</v>
      </c>
      <c r="K57" s="18" t="n">
        <v>0</v>
      </c>
      <c r="L57" s="20" t="n">
        <v>0</v>
      </c>
      <c r="M57" s="18" t="n">
        <v>100</v>
      </c>
      <c r="N57" s="20" t="n">
        <v>0</v>
      </c>
      <c r="O57" s="18" t="n">
        <v>0</v>
      </c>
      <c r="P57" s="20" t="n">
        <v>0</v>
      </c>
      <c r="Q57" s="18" t="n">
        <v>0</v>
      </c>
      <c r="R57" s="20" t="n">
        <v>0</v>
      </c>
    </row>
    <row r="58" spans="1:18">
      <c r="A58" s="15" t="s">
        <v>400</v>
      </c>
      <c r="B58" s="17" t="n">
        <v>3737</v>
      </c>
      <c r="C58" s="18">
        <f>(3129.0/B58*100)</f>
        <v/>
      </c>
      <c r="D58" s="19" t="n">
        <v>608</v>
      </c>
      <c r="E58" s="18" t="n">
        <v>27.84077318</v>
      </c>
      <c r="F58" s="20" t="n">
        <v>2.59634645</v>
      </c>
      <c r="G58" s="18" t="n">
        <v>70.13569314999999</v>
      </c>
      <c r="H58" s="20" t="n">
        <v>2.67534439</v>
      </c>
      <c r="I58" s="18" t="s">
        <v>349</v>
      </c>
      <c r="J58" s="20" t="s">
        <v>349</v>
      </c>
      <c r="K58" s="18" t="n">
        <v>0.39239333</v>
      </c>
      <c r="L58" s="20" t="n">
        <v>0.27802093</v>
      </c>
      <c r="M58" s="18" t="n">
        <v>0</v>
      </c>
      <c r="N58" s="20" t="n">
        <v>0</v>
      </c>
      <c r="O58" s="18" t="n">
        <v>0</v>
      </c>
      <c r="P58" s="20" t="n">
        <v>0</v>
      </c>
      <c r="Q58" s="18" t="n">
        <v>1.63114035</v>
      </c>
      <c r="R58" s="20" t="n">
        <v>0.49436188</v>
      </c>
    </row>
    <row r="59" spans="1:18">
      <c r="A59" s="15" t="s">
        <v>401</v>
      </c>
      <c r="B59" s="17" t="n">
        <v>2278</v>
      </c>
      <c r="C59" s="18">
        <f>(1870.0/B59*100)</f>
        <v/>
      </c>
      <c r="D59" s="19" t="n">
        <v>408</v>
      </c>
      <c r="E59" s="18" t="n">
        <v>31.5660222</v>
      </c>
      <c r="F59" s="20" t="n">
        <v>2.63958023</v>
      </c>
      <c r="G59" s="18" t="n">
        <v>64.2764835</v>
      </c>
      <c r="H59" s="20" t="n">
        <v>2.57892546</v>
      </c>
      <c r="I59" s="18" t="s">
        <v>349</v>
      </c>
      <c r="J59" s="20" t="s">
        <v>349</v>
      </c>
      <c r="K59" s="18" t="n">
        <v>0.36837716</v>
      </c>
      <c r="L59" s="20" t="n">
        <v>0.23209075</v>
      </c>
      <c r="M59" s="18" t="n">
        <v>0</v>
      </c>
      <c r="N59" s="20" t="n">
        <v>0</v>
      </c>
      <c r="O59" s="18" t="n">
        <v>0</v>
      </c>
      <c r="P59" s="20" t="n">
        <v>0</v>
      </c>
      <c r="Q59" s="18" t="n">
        <v>3.78911714</v>
      </c>
      <c r="R59" s="20" t="n">
        <v>1.08426035</v>
      </c>
    </row>
    <row r="60" spans="1:18">
      <c r="A60" s="15" t="s">
        <v>402</v>
      </c>
      <c r="B60" s="17" t="n">
        <v>2451</v>
      </c>
      <c r="C60" s="18">
        <f>(2052.0/B60*100)</f>
        <v/>
      </c>
      <c r="D60" s="19" t="n">
        <v>399</v>
      </c>
      <c r="E60" s="18" t="n">
        <v>16.05335996</v>
      </c>
      <c r="F60" s="20" t="n">
        <v>2.38408216</v>
      </c>
      <c r="G60" s="18" t="n">
        <v>74.94058453</v>
      </c>
      <c r="H60" s="20" t="n">
        <v>2.73942996</v>
      </c>
      <c r="I60" s="18" t="s">
        <v>349</v>
      </c>
      <c r="J60" s="20" t="s">
        <v>349</v>
      </c>
      <c r="K60" s="18" t="n">
        <v>1.42147724</v>
      </c>
      <c r="L60" s="20" t="n">
        <v>0.53492962</v>
      </c>
      <c r="M60" s="18" t="n">
        <v>0</v>
      </c>
      <c r="N60" s="20" t="n">
        <v>0</v>
      </c>
      <c r="O60" s="18" t="n">
        <v>0</v>
      </c>
      <c r="P60" s="20" t="n">
        <v>0</v>
      </c>
      <c r="Q60" s="18" t="n">
        <v>7.58457827</v>
      </c>
      <c r="R60" s="20" t="n">
        <v>1.67057596</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(2106.0/B63*100)</f>
        <v/>
      </c>
      <c r="D63" s="19" t="n">
        <v>405</v>
      </c>
      <c r="E63" s="18" t="n">
        <v>28.76475916</v>
      </c>
      <c r="F63" s="20" t="n">
        <v>2.38175511</v>
      </c>
      <c r="G63" s="18" t="n">
        <v>60.36192523</v>
      </c>
      <c r="H63" s="20" t="n">
        <v>2.5324514</v>
      </c>
      <c r="I63" s="18" t="s">
        <v>349</v>
      </c>
      <c r="J63" s="20" t="s">
        <v>349</v>
      </c>
      <c r="K63" s="18" t="n">
        <v>3.18652583</v>
      </c>
      <c r="L63" s="20" t="n">
        <v>0.9698109</v>
      </c>
      <c r="M63" s="18" t="n">
        <v>0</v>
      </c>
      <c r="N63" s="20" t="n">
        <v>0</v>
      </c>
      <c r="O63" s="18" t="n">
        <v>0</v>
      </c>
      <c r="P63" s="20" t="n">
        <v>0</v>
      </c>
      <c r="Q63" s="18" t="n">
        <v>7.68678978</v>
      </c>
      <c r="R63" s="20" t="n">
        <v>1.41603679</v>
      </c>
    </row>
    <row r="64" spans="1:18">
      <c r="A64" s="15" t="s">
        <v>406</v>
      </c>
      <c r="B64" s="17" t="n">
        <v>1790</v>
      </c>
      <c r="C64" s="18">
        <f>(1495.0/B64*100)</f>
        <v/>
      </c>
      <c r="D64" s="19" t="n">
        <v>295</v>
      </c>
      <c r="E64" s="18" t="n">
        <v>11.2205183</v>
      </c>
      <c r="F64" s="20" t="n">
        <v>1.86663451</v>
      </c>
      <c r="G64" s="18" t="n">
        <v>86.53623100999999</v>
      </c>
      <c r="H64" s="20" t="n">
        <v>2.09356235</v>
      </c>
      <c r="I64" s="18" t="s">
        <v>349</v>
      </c>
      <c r="J64" s="20" t="s">
        <v>349</v>
      </c>
      <c r="K64" s="18" t="n">
        <v>0</v>
      </c>
      <c r="L64" s="20" t="n">
        <v>0</v>
      </c>
      <c r="M64" s="18" t="n">
        <v>0.36074</v>
      </c>
      <c r="N64" s="20" t="n">
        <v>0.36046862</v>
      </c>
      <c r="O64" s="18" t="n">
        <v>0</v>
      </c>
      <c r="P64" s="20" t="n">
        <v>0</v>
      </c>
      <c r="Q64" s="18" t="n">
        <v>1.88251069</v>
      </c>
      <c r="R64" s="20" t="n">
        <v>0.83863289</v>
      </c>
    </row>
    <row r="65" spans="1:18">
      <c r="A65" s="15" t="s">
        <v>407</v>
      </c>
      <c r="B65" s="17" t="n">
        <v>2634</v>
      </c>
      <c r="C65" s="18">
        <f>(2201.0/B65*100)</f>
        <v/>
      </c>
      <c r="D65" s="19" t="n">
        <v>433</v>
      </c>
      <c r="E65" s="18" t="n">
        <v>14.11849717</v>
      </c>
      <c r="F65" s="20" t="n">
        <v>1.90994761</v>
      </c>
      <c r="G65" s="18" t="n">
        <v>79.35798368</v>
      </c>
      <c r="H65" s="20" t="n">
        <v>2.14374468</v>
      </c>
      <c r="I65" s="18" t="s">
        <v>349</v>
      </c>
      <c r="J65" s="20" t="s">
        <v>349</v>
      </c>
      <c r="K65" s="18" t="n">
        <v>1.9291719</v>
      </c>
      <c r="L65" s="20" t="n">
        <v>0.6749544</v>
      </c>
      <c r="M65" s="18" t="n">
        <v>0</v>
      </c>
      <c r="N65" s="20" t="n">
        <v>0</v>
      </c>
      <c r="O65" s="18" t="n">
        <v>0</v>
      </c>
      <c r="P65" s="20" t="n">
        <v>0</v>
      </c>
      <c r="Q65" s="18" t="n">
        <v>4.59434725</v>
      </c>
      <c r="R65" s="20" t="n">
        <v>0.93292831</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(2040.0/B69*100)</f>
        <v/>
      </c>
      <c r="D69" s="19" t="n">
        <v>426</v>
      </c>
      <c r="E69" s="18" t="n">
        <v>23.72250303</v>
      </c>
      <c r="F69" s="20" t="n">
        <v>2.23461984</v>
      </c>
      <c r="G69" s="18" t="n">
        <v>76.08097146</v>
      </c>
      <c r="H69" s="20" t="n">
        <v>2.2486871</v>
      </c>
      <c r="I69" s="18" t="s">
        <v>349</v>
      </c>
      <c r="J69" s="20" t="s">
        <v>349</v>
      </c>
      <c r="K69" s="18" t="n">
        <v>0</v>
      </c>
      <c r="L69" s="20" t="n">
        <v>0</v>
      </c>
      <c r="M69" s="18" t="n">
        <v>0</v>
      </c>
      <c r="N69" s="20" t="n">
        <v>0</v>
      </c>
      <c r="O69" s="18" t="n">
        <v>0</v>
      </c>
      <c r="P69" s="20" t="n">
        <v>0</v>
      </c>
      <c r="Q69" s="18" t="n">
        <v>0.1965255</v>
      </c>
      <c r="R69" s="20" t="n">
        <v>0.19522324</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(2048.0/B74*100)</f>
        <v/>
      </c>
      <c r="D74" s="19" t="n">
        <v>405</v>
      </c>
      <c r="E74" s="18" t="n">
        <v>15.24054679</v>
      </c>
      <c r="F74" s="20" t="n">
        <v>2.13452303</v>
      </c>
      <c r="G74" s="18" t="n">
        <v>79.22726213999999</v>
      </c>
      <c r="H74" s="20" t="n">
        <v>2.30714962</v>
      </c>
      <c r="I74" s="18" t="s">
        <v>349</v>
      </c>
      <c r="J74" s="20" t="s">
        <v>349</v>
      </c>
      <c r="K74" s="18" t="n">
        <v>2.6176887</v>
      </c>
      <c r="L74" s="20" t="n">
        <v>0.67520096</v>
      </c>
      <c r="M74" s="18" t="n">
        <v>0</v>
      </c>
      <c r="N74" s="20" t="n">
        <v>0</v>
      </c>
      <c r="O74" s="18" t="n">
        <v>0</v>
      </c>
      <c r="P74" s="20" t="n">
        <v>0</v>
      </c>
      <c r="Q74" s="18" t="n">
        <v>2.91450238</v>
      </c>
      <c r="R74" s="20" t="n">
        <v>1.0328459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(2531.0/B78*100)</f>
        <v/>
      </c>
      <c r="D78" s="19" t="n">
        <v>509</v>
      </c>
      <c r="E78" s="18" t="n">
        <v>19.29890054</v>
      </c>
      <c r="F78" s="20" t="n">
        <v>2.01561539</v>
      </c>
      <c r="G78" s="18" t="n">
        <v>80.70109945999999</v>
      </c>
      <c r="H78" s="20" t="n">
        <v>2.01561539</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(735.0/B79*100)</f>
        <v/>
      </c>
      <c r="D79" s="19" t="n">
        <v>135</v>
      </c>
      <c r="E79" s="18" t="n">
        <v>13.08619818</v>
      </c>
      <c r="F79" s="20" t="n">
        <v>3.58562243</v>
      </c>
      <c r="G79" s="18" t="n">
        <v>82.8603268</v>
      </c>
      <c r="H79" s="20" t="n">
        <v>3.59809556</v>
      </c>
      <c r="I79" s="18" t="s">
        <v>349</v>
      </c>
      <c r="J79" s="20" t="s">
        <v>349</v>
      </c>
      <c r="K79" s="18" t="n">
        <v>2.81312625</v>
      </c>
      <c r="L79" s="20" t="n">
        <v>1.48754631</v>
      </c>
      <c r="M79" s="18" t="n">
        <v>0</v>
      </c>
      <c r="N79" s="20" t="n">
        <v>0</v>
      </c>
      <c r="O79" s="18" t="n">
        <v>0</v>
      </c>
      <c r="P79" s="20" t="n">
        <v>0</v>
      </c>
      <c r="Q79" s="18" t="n">
        <v>1.24034877</v>
      </c>
      <c r="R79" s="20" t="n">
        <v>0.75515893</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(2239.0/B44*100)</f>
        <v/>
      </c>
      <c r="D44" s="19" t="n">
        <v>452</v>
      </c>
      <c r="E44" s="18" t="n">
        <v>76.29813683</v>
      </c>
      <c r="F44" s="20" t="n">
        <v>2.74890724</v>
      </c>
      <c r="G44" s="18" t="n">
        <v>17.63160029</v>
      </c>
      <c r="H44" s="20" t="n">
        <v>2.21859506</v>
      </c>
      <c r="I44" s="18" t="s">
        <v>349</v>
      </c>
      <c r="J44" s="20" t="s">
        <v>349</v>
      </c>
      <c r="K44" s="18" t="n">
        <v>0.98221496</v>
      </c>
      <c r="L44" s="20" t="n">
        <v>0.50528998</v>
      </c>
      <c r="M44" s="18" t="n">
        <v>0</v>
      </c>
      <c r="N44" s="20" t="n">
        <v>0</v>
      </c>
      <c r="O44" s="18" t="n">
        <v>0</v>
      </c>
      <c r="P44" s="20" t="n">
        <v>0</v>
      </c>
      <c r="Q44" s="18" t="n">
        <v>5.08804792</v>
      </c>
      <c r="R44" s="20" t="n">
        <v>1.2165336</v>
      </c>
    </row>
    <row r="45" spans="1:18">
      <c r="A45" s="15" t="s">
        <v>387</v>
      </c>
      <c r="B45" s="17" t="n">
        <v>2670</v>
      </c>
      <c r="C45" s="18">
        <f>(2262.0/B45*100)</f>
        <v/>
      </c>
      <c r="D45" s="19" t="n">
        <v>408</v>
      </c>
      <c r="E45" s="18" t="n">
        <v>83.57538201</v>
      </c>
      <c r="F45" s="20" t="n">
        <v>1.86544193</v>
      </c>
      <c r="G45" s="18" t="n">
        <v>5.3997029</v>
      </c>
      <c r="H45" s="20" t="n">
        <v>1.15363247</v>
      </c>
      <c r="I45" s="18" t="s">
        <v>349</v>
      </c>
      <c r="J45" s="20" t="s">
        <v>349</v>
      </c>
      <c r="K45" s="18" t="n">
        <v>4.15625396</v>
      </c>
      <c r="L45" s="20" t="n">
        <v>1.01672587</v>
      </c>
      <c r="M45" s="18" t="n">
        <v>0</v>
      </c>
      <c r="N45" s="20" t="n">
        <v>0</v>
      </c>
      <c r="O45" s="18" t="n">
        <v>0.35632104</v>
      </c>
      <c r="P45" s="20" t="n">
        <v>0.33774757</v>
      </c>
      <c r="Q45" s="18" t="n">
        <v>6.51234009</v>
      </c>
      <c r="R45" s="20" t="n">
        <v>1.61049561</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(2794.0/B49*100)</f>
        <v/>
      </c>
      <c r="D49" s="19" t="n">
        <v>537</v>
      </c>
      <c r="E49" s="18" t="n">
        <v>71.84613447</v>
      </c>
      <c r="F49" s="20" t="n">
        <v>2.47437851</v>
      </c>
      <c r="G49" s="18" t="n">
        <v>22.34360117</v>
      </c>
      <c r="H49" s="20" t="n">
        <v>2.34194634</v>
      </c>
      <c r="I49" s="18" t="s">
        <v>349</v>
      </c>
      <c r="J49" s="20" t="s">
        <v>349</v>
      </c>
      <c r="K49" s="18" t="n">
        <v>1.14345152</v>
      </c>
      <c r="L49" s="20" t="n">
        <v>0.5543978000000001</v>
      </c>
      <c r="M49" s="18" t="n">
        <v>0</v>
      </c>
      <c r="N49" s="20" t="n">
        <v>0</v>
      </c>
      <c r="O49" s="18" t="n">
        <v>0</v>
      </c>
      <c r="P49" s="20" t="n">
        <v>0</v>
      </c>
      <c r="Q49" s="18" t="n">
        <v>4.66681283</v>
      </c>
      <c r="R49" s="20" t="n">
        <v>0.93877206</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(2122.0/B55*100)</f>
        <v/>
      </c>
      <c r="D55" s="19" t="n">
        <v>435</v>
      </c>
      <c r="E55" s="18" t="n">
        <v>65.07395644</v>
      </c>
      <c r="F55" s="20" t="n">
        <v>2.349379</v>
      </c>
      <c r="G55" s="18" t="n">
        <v>23.07632519</v>
      </c>
      <c r="H55" s="20" t="n">
        <v>2.13742106</v>
      </c>
      <c r="I55" s="18" t="s">
        <v>349</v>
      </c>
      <c r="J55" s="20" t="s">
        <v>349</v>
      </c>
      <c r="K55" s="18" t="n">
        <v>1.20750055</v>
      </c>
      <c r="L55" s="20" t="n">
        <v>0.50973557</v>
      </c>
      <c r="M55" s="18" t="n">
        <v>0</v>
      </c>
      <c r="N55" s="20" t="n">
        <v>0</v>
      </c>
      <c r="O55" s="18" t="n">
        <v>0</v>
      </c>
      <c r="P55" s="20" t="n">
        <v>0</v>
      </c>
      <c r="Q55" s="18" t="n">
        <v>10.64221782</v>
      </c>
      <c r="R55" s="20" t="n">
        <v>1.54448474</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(2817.0/B57*100)</f>
        <v/>
      </c>
      <c r="D57" s="19" t="n">
        <v>526</v>
      </c>
      <c r="E57" s="18" t="n">
        <v>87.02354187</v>
      </c>
      <c r="F57" s="20" t="n">
        <v>1.64124588</v>
      </c>
      <c r="G57" s="18" t="n">
        <v>11.06273202</v>
      </c>
      <c r="H57" s="20" t="n">
        <v>1.41502359</v>
      </c>
      <c r="I57" s="18" t="s">
        <v>349</v>
      </c>
      <c r="J57" s="20" t="s">
        <v>349</v>
      </c>
      <c r="K57" s="18" t="n">
        <v>0.39262462</v>
      </c>
      <c r="L57" s="20" t="n">
        <v>0.37113147</v>
      </c>
      <c r="M57" s="18" t="n">
        <v>0</v>
      </c>
      <c r="N57" s="20" t="n">
        <v>0</v>
      </c>
      <c r="O57" s="18" t="n">
        <v>0</v>
      </c>
      <c r="P57" s="20" t="n">
        <v>0</v>
      </c>
      <c r="Q57" s="18" t="n">
        <v>1.52110149</v>
      </c>
      <c r="R57" s="20" t="n">
        <v>0.59442923</v>
      </c>
    </row>
    <row r="58" spans="1:18">
      <c r="A58" s="15" t="s">
        <v>400</v>
      </c>
      <c r="B58" s="17" t="n">
        <v>3737</v>
      </c>
      <c r="C58" s="18">
        <f>(3129.0/B58*100)</f>
        <v/>
      </c>
      <c r="D58" s="19" t="n">
        <v>608</v>
      </c>
      <c r="E58" s="18" t="n">
        <v>80.02508709999999</v>
      </c>
      <c r="F58" s="20" t="n">
        <v>2.05513327</v>
      </c>
      <c r="G58" s="18" t="n">
        <v>17.04473537</v>
      </c>
      <c r="H58" s="20" t="n">
        <v>1.83099939</v>
      </c>
      <c r="I58" s="18" t="s">
        <v>349</v>
      </c>
      <c r="J58" s="20" t="s">
        <v>349</v>
      </c>
      <c r="K58" s="18" t="n">
        <v>0.64150896</v>
      </c>
      <c r="L58" s="20" t="n">
        <v>0.37054171</v>
      </c>
      <c r="M58" s="18" t="n">
        <v>0</v>
      </c>
      <c r="N58" s="20" t="n">
        <v>0</v>
      </c>
      <c r="O58" s="18" t="n">
        <v>0</v>
      </c>
      <c r="P58" s="20" t="n">
        <v>0</v>
      </c>
      <c r="Q58" s="18" t="n">
        <v>2.28866857</v>
      </c>
      <c r="R58" s="20" t="n">
        <v>0.57614824</v>
      </c>
    </row>
    <row r="59" spans="1:18">
      <c r="A59" s="15" t="s">
        <v>401</v>
      </c>
      <c r="B59" s="17" t="n">
        <v>2278</v>
      </c>
      <c r="C59" s="18">
        <f>(1870.0/B59*100)</f>
        <v/>
      </c>
      <c r="D59" s="19" t="n">
        <v>408</v>
      </c>
      <c r="E59" s="18" t="n">
        <v>85.88129689</v>
      </c>
      <c r="F59" s="20" t="n">
        <v>1.93271375</v>
      </c>
      <c r="G59" s="18" t="n">
        <v>7.7477461</v>
      </c>
      <c r="H59" s="20" t="n">
        <v>1.39222064</v>
      </c>
      <c r="I59" s="18" t="s">
        <v>349</v>
      </c>
      <c r="J59" s="20" t="s">
        <v>349</v>
      </c>
      <c r="K59" s="18" t="n">
        <v>0.54696852</v>
      </c>
      <c r="L59" s="20" t="n">
        <v>0.26462072</v>
      </c>
      <c r="M59" s="18" t="n">
        <v>0</v>
      </c>
      <c r="N59" s="20" t="n">
        <v>0</v>
      </c>
      <c r="O59" s="18" t="n">
        <v>0</v>
      </c>
      <c r="P59" s="20" t="n">
        <v>0</v>
      </c>
      <c r="Q59" s="18" t="n">
        <v>5.82398849</v>
      </c>
      <c r="R59" s="20" t="n">
        <v>1.41612091</v>
      </c>
    </row>
    <row r="60" spans="1:18">
      <c r="A60" s="15" t="s">
        <v>402</v>
      </c>
      <c r="B60" s="17" t="n">
        <v>2451</v>
      </c>
      <c r="C60" s="18">
        <f>(2052.0/B60*100)</f>
        <v/>
      </c>
      <c r="D60" s="19" t="n">
        <v>399</v>
      </c>
      <c r="E60" s="18" t="n">
        <v>55.90950263</v>
      </c>
      <c r="F60" s="20" t="n">
        <v>2.762003</v>
      </c>
      <c r="G60" s="18" t="n">
        <v>32.09824522</v>
      </c>
      <c r="H60" s="20" t="n">
        <v>2.43796033</v>
      </c>
      <c r="I60" s="18" t="s">
        <v>349</v>
      </c>
      <c r="J60" s="20" t="s">
        <v>349</v>
      </c>
      <c r="K60" s="18" t="n">
        <v>1.70983265</v>
      </c>
      <c r="L60" s="20" t="n">
        <v>0.51574564</v>
      </c>
      <c r="M60" s="18" t="n">
        <v>0.56554931</v>
      </c>
      <c r="N60" s="20" t="n">
        <v>0.56540074</v>
      </c>
      <c r="O60" s="18" t="n">
        <v>0</v>
      </c>
      <c r="P60" s="20" t="n">
        <v>0</v>
      </c>
      <c r="Q60" s="18" t="n">
        <v>9.71687019</v>
      </c>
      <c r="R60" s="20" t="n">
        <v>1.74737025</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(2106.0/B63*100)</f>
        <v/>
      </c>
      <c r="D63" s="19" t="n">
        <v>405</v>
      </c>
      <c r="E63" s="18" t="n">
        <v>68.76568186999999</v>
      </c>
      <c r="F63" s="20" t="n">
        <v>2.33093142</v>
      </c>
      <c r="G63" s="18" t="n">
        <v>16.31181617</v>
      </c>
      <c r="H63" s="20" t="n">
        <v>1.85549847</v>
      </c>
      <c r="I63" s="18" t="s">
        <v>349</v>
      </c>
      <c r="J63" s="20" t="s">
        <v>349</v>
      </c>
      <c r="K63" s="18" t="n">
        <v>3.18652583</v>
      </c>
      <c r="L63" s="20" t="n">
        <v>0.9698109</v>
      </c>
      <c r="M63" s="18" t="n">
        <v>0</v>
      </c>
      <c r="N63" s="20" t="n">
        <v>0</v>
      </c>
      <c r="O63" s="18" t="n">
        <v>0</v>
      </c>
      <c r="P63" s="20" t="n">
        <v>0</v>
      </c>
      <c r="Q63" s="18" t="n">
        <v>11.73597613</v>
      </c>
      <c r="R63" s="20" t="n">
        <v>1.71630982</v>
      </c>
    </row>
    <row r="64" spans="1:18">
      <c r="A64" s="15" t="s">
        <v>406</v>
      </c>
      <c r="B64" s="17" t="n">
        <v>1790</v>
      </c>
      <c r="C64" s="18">
        <f>(1495.0/B64*100)</f>
        <v/>
      </c>
      <c r="D64" s="19" t="n">
        <v>295</v>
      </c>
      <c r="E64" s="18" t="n">
        <v>58.31347183</v>
      </c>
      <c r="F64" s="20" t="n">
        <v>2.8530838</v>
      </c>
      <c r="G64" s="18" t="n">
        <v>38.35558024</v>
      </c>
      <c r="H64" s="20" t="n">
        <v>2.9064391</v>
      </c>
      <c r="I64" s="18" t="s">
        <v>349</v>
      </c>
      <c r="J64" s="20" t="s">
        <v>349</v>
      </c>
      <c r="K64" s="18" t="n">
        <v>0</v>
      </c>
      <c r="L64" s="20" t="n">
        <v>0</v>
      </c>
      <c r="M64" s="18" t="n">
        <v>0</v>
      </c>
      <c r="N64" s="20" t="n">
        <v>0</v>
      </c>
      <c r="O64" s="18" t="n">
        <v>0</v>
      </c>
      <c r="P64" s="20" t="n">
        <v>0</v>
      </c>
      <c r="Q64" s="18" t="n">
        <v>3.33094793</v>
      </c>
      <c r="R64" s="20" t="n">
        <v>1.09834113</v>
      </c>
    </row>
    <row r="65" spans="1:18">
      <c r="A65" s="15" t="s">
        <v>407</v>
      </c>
      <c r="B65" s="17" t="n">
        <v>2634</v>
      </c>
      <c r="C65" s="18">
        <f>(2201.0/B65*100)</f>
        <v/>
      </c>
      <c r="D65" s="19" t="n">
        <v>433</v>
      </c>
      <c r="E65" s="18" t="n">
        <v>70.41200191999999</v>
      </c>
      <c r="F65" s="20" t="n">
        <v>2.36347205</v>
      </c>
      <c r="G65" s="18" t="n">
        <v>21.26583644</v>
      </c>
      <c r="H65" s="20" t="n">
        <v>2.17557503</v>
      </c>
      <c r="I65" s="18" t="s">
        <v>349</v>
      </c>
      <c r="J65" s="20" t="s">
        <v>349</v>
      </c>
      <c r="K65" s="18" t="n">
        <v>1.9291719</v>
      </c>
      <c r="L65" s="20" t="n">
        <v>0.6749544</v>
      </c>
      <c r="M65" s="18" t="n">
        <v>0</v>
      </c>
      <c r="N65" s="20" t="n">
        <v>0</v>
      </c>
      <c r="O65" s="18" t="n">
        <v>0</v>
      </c>
      <c r="P65" s="20" t="n">
        <v>0</v>
      </c>
      <c r="Q65" s="18" t="n">
        <v>6.39298974</v>
      </c>
      <c r="R65" s="20" t="n">
        <v>1.08593071</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(2040.0/B69*100)</f>
        <v/>
      </c>
      <c r="D69" s="19" t="n">
        <v>426</v>
      </c>
      <c r="E69" s="18" t="n">
        <v>66.30067794</v>
      </c>
      <c r="F69" s="20" t="n">
        <v>2.78534397</v>
      </c>
      <c r="G69" s="18" t="n">
        <v>33.50279656</v>
      </c>
      <c r="H69" s="20" t="n">
        <v>2.80851453</v>
      </c>
      <c r="I69" s="18" t="s">
        <v>349</v>
      </c>
      <c r="J69" s="20" t="s">
        <v>349</v>
      </c>
      <c r="K69" s="18" t="n">
        <v>0</v>
      </c>
      <c r="L69" s="20" t="n">
        <v>0</v>
      </c>
      <c r="M69" s="18" t="n">
        <v>0</v>
      </c>
      <c r="N69" s="20" t="n">
        <v>0</v>
      </c>
      <c r="O69" s="18" t="n">
        <v>0</v>
      </c>
      <c r="P69" s="20" t="n">
        <v>0</v>
      </c>
      <c r="Q69" s="18" t="n">
        <v>0.1965255</v>
      </c>
      <c r="R69" s="20" t="n">
        <v>0.19522324</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(2048.0/B74*100)</f>
        <v/>
      </c>
      <c r="D74" s="19" t="n">
        <v>405</v>
      </c>
      <c r="E74" s="18" t="n">
        <v>64.36549285</v>
      </c>
      <c r="F74" s="20" t="n">
        <v>3.02068461</v>
      </c>
      <c r="G74" s="18" t="n">
        <v>27.23262562</v>
      </c>
      <c r="H74" s="20" t="n">
        <v>2.93214826</v>
      </c>
      <c r="I74" s="18" t="s">
        <v>349</v>
      </c>
      <c r="J74" s="20" t="s">
        <v>349</v>
      </c>
      <c r="K74" s="18" t="n">
        <v>2.85583339</v>
      </c>
      <c r="L74" s="20" t="n">
        <v>0.71787963</v>
      </c>
      <c r="M74" s="18" t="n">
        <v>0</v>
      </c>
      <c r="N74" s="20" t="n">
        <v>0</v>
      </c>
      <c r="O74" s="18" t="n">
        <v>0</v>
      </c>
      <c r="P74" s="20" t="n">
        <v>0</v>
      </c>
      <c r="Q74" s="18" t="n">
        <v>5.54604815</v>
      </c>
      <c r="R74" s="20" t="n">
        <v>1.24418962</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(2531.0/B78*100)</f>
        <v/>
      </c>
      <c r="D78" s="19" t="n">
        <v>509</v>
      </c>
      <c r="E78" s="18" t="n">
        <v>59.89566039</v>
      </c>
      <c r="F78" s="20" t="n">
        <v>2.63499771</v>
      </c>
      <c r="G78" s="18" t="n">
        <v>40.10433961</v>
      </c>
      <c r="H78" s="20" t="n">
        <v>2.63499771</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(735.0/B79*100)</f>
        <v/>
      </c>
      <c r="D79" s="19" t="n">
        <v>135</v>
      </c>
      <c r="E79" s="18" t="n">
        <v>61.81207831</v>
      </c>
      <c r="F79" s="20" t="n">
        <v>4.64435133</v>
      </c>
      <c r="G79" s="18" t="n">
        <v>32.41522321</v>
      </c>
      <c r="H79" s="20" t="n">
        <v>3.47629058</v>
      </c>
      <c r="I79" s="18" t="s">
        <v>349</v>
      </c>
      <c r="J79" s="20" t="s">
        <v>349</v>
      </c>
      <c r="K79" s="18" t="n">
        <v>2.81312625</v>
      </c>
      <c r="L79" s="20" t="n">
        <v>1.48754631</v>
      </c>
      <c r="M79" s="18" t="n">
        <v>0</v>
      </c>
      <c r="N79" s="20" t="n">
        <v>0</v>
      </c>
      <c r="O79" s="18" t="n">
        <v>0</v>
      </c>
      <c r="P79" s="20" t="n">
        <v>0</v>
      </c>
      <c r="Q79" s="18" t="n">
        <v>2.95957223</v>
      </c>
      <c r="R79" s="20" t="n">
        <v>1.36561431</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(2239.0/B44*100)</f>
        <v/>
      </c>
      <c r="D44" s="19" t="n">
        <v>452</v>
      </c>
      <c r="E44" s="18" t="n">
        <v>50.39466098</v>
      </c>
      <c r="F44" s="20" t="n">
        <v>2.54303325</v>
      </c>
      <c r="G44" s="18" t="n">
        <v>46.0951222</v>
      </c>
      <c r="H44" s="20" t="n">
        <v>2.63158447</v>
      </c>
      <c r="I44" s="18" t="s">
        <v>349</v>
      </c>
      <c r="J44" s="20" t="s">
        <v>349</v>
      </c>
      <c r="K44" s="18" t="n">
        <v>0.98221496</v>
      </c>
      <c r="L44" s="20" t="n">
        <v>0.50528998</v>
      </c>
      <c r="M44" s="18" t="n">
        <v>0</v>
      </c>
      <c r="N44" s="20" t="n">
        <v>0</v>
      </c>
      <c r="O44" s="18" t="n">
        <v>0</v>
      </c>
      <c r="P44" s="20" t="n">
        <v>0</v>
      </c>
      <c r="Q44" s="18" t="n">
        <v>2.52800185</v>
      </c>
      <c r="R44" s="20" t="n">
        <v>0.97694532</v>
      </c>
    </row>
    <row r="45" spans="1:18">
      <c r="A45" s="15" t="s">
        <v>387</v>
      </c>
      <c r="B45" s="17" t="n">
        <v>2670</v>
      </c>
      <c r="C45" s="18">
        <f>(2262.0/B45*100)</f>
        <v/>
      </c>
      <c r="D45" s="19" t="n">
        <v>408</v>
      </c>
      <c r="E45" s="18" t="n">
        <v>53.46404555</v>
      </c>
      <c r="F45" s="20" t="n">
        <v>3.0691513</v>
      </c>
      <c r="G45" s="18" t="n">
        <v>38.7689301</v>
      </c>
      <c r="H45" s="20" t="n">
        <v>3.01251176</v>
      </c>
      <c r="I45" s="18" t="s">
        <v>349</v>
      </c>
      <c r="J45" s="20" t="s">
        <v>349</v>
      </c>
      <c r="K45" s="18" t="n">
        <v>4.45114349</v>
      </c>
      <c r="L45" s="20" t="n">
        <v>1.03063715</v>
      </c>
      <c r="M45" s="18" t="n">
        <v>0</v>
      </c>
      <c r="N45" s="20" t="n">
        <v>0</v>
      </c>
      <c r="O45" s="18" t="n">
        <v>0</v>
      </c>
      <c r="P45" s="20" t="n">
        <v>0</v>
      </c>
      <c r="Q45" s="18" t="n">
        <v>3.31588086</v>
      </c>
      <c r="R45" s="20" t="n">
        <v>0.92171186</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(2794.0/B49*100)</f>
        <v/>
      </c>
      <c r="D49" s="19" t="n">
        <v>537</v>
      </c>
      <c r="E49" s="18" t="n">
        <v>41.63927699</v>
      </c>
      <c r="F49" s="20" t="n">
        <v>2.38834048</v>
      </c>
      <c r="G49" s="18" t="n">
        <v>56.21855977</v>
      </c>
      <c r="H49" s="20" t="n">
        <v>2.40691999</v>
      </c>
      <c r="I49" s="18" t="s">
        <v>349</v>
      </c>
      <c r="J49" s="20" t="s">
        <v>349</v>
      </c>
      <c r="K49" s="18" t="n">
        <v>1.14345152</v>
      </c>
      <c r="L49" s="20" t="n">
        <v>0.5543978000000001</v>
      </c>
      <c r="M49" s="18" t="n">
        <v>0</v>
      </c>
      <c r="N49" s="20" t="n">
        <v>0</v>
      </c>
      <c r="O49" s="18" t="n">
        <v>0</v>
      </c>
      <c r="P49" s="20" t="n">
        <v>0</v>
      </c>
      <c r="Q49" s="18" t="n">
        <v>0.99871172</v>
      </c>
      <c r="R49" s="20" t="n">
        <v>0.30183436</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(2122.0/B55*100)</f>
        <v/>
      </c>
      <c r="D55" s="19" t="n">
        <v>435</v>
      </c>
      <c r="E55" s="18" t="n">
        <v>42.59322437</v>
      </c>
      <c r="F55" s="20" t="n">
        <v>2.4471643</v>
      </c>
      <c r="G55" s="18" t="n">
        <v>54.75927673</v>
      </c>
      <c r="H55" s="20" t="n">
        <v>2.53845635</v>
      </c>
      <c r="I55" s="18" t="s">
        <v>349</v>
      </c>
      <c r="J55" s="20" t="s">
        <v>349</v>
      </c>
      <c r="K55" s="18" t="n">
        <v>1.20750055</v>
      </c>
      <c r="L55" s="20" t="n">
        <v>0.50973557</v>
      </c>
      <c r="M55" s="18" t="n">
        <v>0</v>
      </c>
      <c r="N55" s="20" t="n">
        <v>0</v>
      </c>
      <c r="O55" s="18" t="n">
        <v>0.21337869</v>
      </c>
      <c r="P55" s="20" t="n">
        <v>0.21243983</v>
      </c>
      <c r="Q55" s="18" t="n">
        <v>1.22661966</v>
      </c>
      <c r="R55" s="20" t="n">
        <v>0.50601652</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(2817.0/B57*100)</f>
        <v/>
      </c>
      <c r="D57" s="19" t="n">
        <v>526</v>
      </c>
      <c r="E57" s="18" t="n">
        <v>47.70332827</v>
      </c>
      <c r="F57" s="20" t="n">
        <v>2.43902422</v>
      </c>
      <c r="G57" s="18" t="n">
        <v>50.79194333</v>
      </c>
      <c r="H57" s="20" t="n">
        <v>2.3987935</v>
      </c>
      <c r="I57" s="18" t="s">
        <v>349</v>
      </c>
      <c r="J57" s="20" t="s">
        <v>349</v>
      </c>
      <c r="K57" s="18" t="n">
        <v>0.39262462</v>
      </c>
      <c r="L57" s="20" t="n">
        <v>0.37113147</v>
      </c>
      <c r="M57" s="18" t="n">
        <v>0</v>
      </c>
      <c r="N57" s="20" t="n">
        <v>0</v>
      </c>
      <c r="O57" s="18" t="n">
        <v>0</v>
      </c>
      <c r="P57" s="20" t="n">
        <v>0</v>
      </c>
      <c r="Q57" s="18" t="n">
        <v>1.11210378</v>
      </c>
      <c r="R57" s="20" t="n">
        <v>0.47567525</v>
      </c>
    </row>
    <row r="58" spans="1:18">
      <c r="A58" s="15" t="s">
        <v>400</v>
      </c>
      <c r="B58" s="17" t="n">
        <v>3737</v>
      </c>
      <c r="C58" s="18">
        <f>(3129.0/B58*100)</f>
        <v/>
      </c>
      <c r="D58" s="19" t="n">
        <v>608</v>
      </c>
      <c r="E58" s="18" t="n">
        <v>55.79224325</v>
      </c>
      <c r="F58" s="20" t="n">
        <v>2.48150161</v>
      </c>
      <c r="G58" s="18" t="n">
        <v>41.40312044</v>
      </c>
      <c r="H58" s="20" t="n">
        <v>2.43883469</v>
      </c>
      <c r="I58" s="18" t="s">
        <v>349</v>
      </c>
      <c r="J58" s="20" t="s">
        <v>349</v>
      </c>
      <c r="K58" s="18" t="n">
        <v>0.64150896</v>
      </c>
      <c r="L58" s="20" t="n">
        <v>0.37054171</v>
      </c>
      <c r="M58" s="18" t="n">
        <v>0</v>
      </c>
      <c r="N58" s="20" t="n">
        <v>0</v>
      </c>
      <c r="O58" s="18" t="n">
        <v>0.22545304</v>
      </c>
      <c r="P58" s="20" t="n">
        <v>0.22466695</v>
      </c>
      <c r="Q58" s="18" t="n">
        <v>1.9376743</v>
      </c>
      <c r="R58" s="20" t="n">
        <v>0.50340272</v>
      </c>
    </row>
    <row r="59" spans="1:18">
      <c r="A59" s="15" t="s">
        <v>401</v>
      </c>
      <c r="B59" s="17" t="n">
        <v>2278</v>
      </c>
      <c r="C59" s="18">
        <f>(1870.0/B59*100)</f>
        <v/>
      </c>
      <c r="D59" s="19" t="n">
        <v>408</v>
      </c>
      <c r="E59" s="18" t="n">
        <v>59.36987347</v>
      </c>
      <c r="F59" s="20" t="n">
        <v>2.94600683</v>
      </c>
      <c r="G59" s="18" t="n">
        <v>37.71976883</v>
      </c>
      <c r="H59" s="20" t="n">
        <v>3.029935</v>
      </c>
      <c r="I59" s="18" t="s">
        <v>349</v>
      </c>
      <c r="J59" s="20" t="s">
        <v>349</v>
      </c>
      <c r="K59" s="18" t="n">
        <v>0.54696852</v>
      </c>
      <c r="L59" s="20" t="n">
        <v>0.26462072</v>
      </c>
      <c r="M59" s="18" t="n">
        <v>0</v>
      </c>
      <c r="N59" s="20" t="n">
        <v>0</v>
      </c>
      <c r="O59" s="18" t="n">
        <v>0</v>
      </c>
      <c r="P59" s="20" t="n">
        <v>0</v>
      </c>
      <c r="Q59" s="18" t="n">
        <v>2.36338917</v>
      </c>
      <c r="R59" s="20" t="n">
        <v>1.17034672</v>
      </c>
    </row>
    <row r="60" spans="1:18">
      <c r="A60" s="15" t="s">
        <v>402</v>
      </c>
      <c r="B60" s="17" t="n">
        <v>2451</v>
      </c>
      <c r="C60" s="18">
        <f>(2052.0/B60*100)</f>
        <v/>
      </c>
      <c r="D60" s="19" t="n">
        <v>399</v>
      </c>
      <c r="E60" s="18" t="n">
        <v>58.78602506</v>
      </c>
      <c r="F60" s="20" t="n">
        <v>2.73826271</v>
      </c>
      <c r="G60" s="18" t="n">
        <v>34.62777016</v>
      </c>
      <c r="H60" s="20" t="n">
        <v>2.44535055</v>
      </c>
      <c r="I60" s="18" t="s">
        <v>349</v>
      </c>
      <c r="J60" s="20" t="s">
        <v>349</v>
      </c>
      <c r="K60" s="18" t="n">
        <v>1.70983265</v>
      </c>
      <c r="L60" s="20" t="n">
        <v>0.51574564</v>
      </c>
      <c r="M60" s="18" t="n">
        <v>0</v>
      </c>
      <c r="N60" s="20" t="n">
        <v>0</v>
      </c>
      <c r="O60" s="18" t="n">
        <v>0</v>
      </c>
      <c r="P60" s="20" t="n">
        <v>0</v>
      </c>
      <c r="Q60" s="18" t="n">
        <v>4.87637212</v>
      </c>
      <c r="R60" s="20" t="n">
        <v>1.42751091</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(2106.0/B63*100)</f>
        <v/>
      </c>
      <c r="D63" s="19" t="n">
        <v>405</v>
      </c>
      <c r="E63" s="18" t="n">
        <v>47.77509797</v>
      </c>
      <c r="F63" s="20" t="n">
        <v>2.88981964</v>
      </c>
      <c r="G63" s="18" t="n">
        <v>47.91690607</v>
      </c>
      <c r="H63" s="20" t="n">
        <v>2.79231342</v>
      </c>
      <c r="I63" s="18" t="s">
        <v>349</v>
      </c>
      <c r="J63" s="20" t="s">
        <v>349</v>
      </c>
      <c r="K63" s="18" t="n">
        <v>3.18652583</v>
      </c>
      <c r="L63" s="20" t="n">
        <v>0.9698109</v>
      </c>
      <c r="M63" s="18" t="n">
        <v>0</v>
      </c>
      <c r="N63" s="20" t="n">
        <v>0</v>
      </c>
      <c r="O63" s="18" t="n">
        <v>0</v>
      </c>
      <c r="P63" s="20" t="n">
        <v>0</v>
      </c>
      <c r="Q63" s="18" t="n">
        <v>1.12147013</v>
      </c>
      <c r="R63" s="20" t="n">
        <v>0.38804457</v>
      </c>
    </row>
    <row r="64" spans="1:18">
      <c r="A64" s="15" t="s">
        <v>406</v>
      </c>
      <c r="B64" s="17" t="n">
        <v>1790</v>
      </c>
      <c r="C64" s="18">
        <f>(1495.0/B64*100)</f>
        <v/>
      </c>
      <c r="D64" s="19" t="n">
        <v>295</v>
      </c>
      <c r="E64" s="18" t="n">
        <v>38.3332185</v>
      </c>
      <c r="F64" s="20" t="n">
        <v>2.8790019</v>
      </c>
      <c r="G64" s="18" t="n">
        <v>60.46745326</v>
      </c>
      <c r="H64" s="20" t="n">
        <v>2.90108744</v>
      </c>
      <c r="I64" s="18" t="s">
        <v>349</v>
      </c>
      <c r="J64" s="20" t="s">
        <v>349</v>
      </c>
      <c r="K64" s="18" t="n">
        <v>0</v>
      </c>
      <c r="L64" s="20" t="n">
        <v>0</v>
      </c>
      <c r="M64" s="18" t="n">
        <v>0</v>
      </c>
      <c r="N64" s="20" t="n">
        <v>0</v>
      </c>
      <c r="O64" s="18" t="n">
        <v>0</v>
      </c>
      <c r="P64" s="20" t="n">
        <v>0</v>
      </c>
      <c r="Q64" s="18" t="n">
        <v>1.19932824</v>
      </c>
      <c r="R64" s="20" t="n">
        <v>0.71410126</v>
      </c>
    </row>
    <row r="65" spans="1:18">
      <c r="A65" s="15" t="s">
        <v>407</v>
      </c>
      <c r="B65" s="17" t="n">
        <v>2634</v>
      </c>
      <c r="C65" s="18">
        <f>(2201.0/B65*100)</f>
        <v/>
      </c>
      <c r="D65" s="19" t="n">
        <v>433</v>
      </c>
      <c r="E65" s="18" t="n">
        <v>45.01277446</v>
      </c>
      <c r="F65" s="20" t="n">
        <v>2.41673603</v>
      </c>
      <c r="G65" s="18" t="n">
        <v>50.4459489</v>
      </c>
      <c r="H65" s="20" t="n">
        <v>2.51089889</v>
      </c>
      <c r="I65" s="18" t="s">
        <v>349</v>
      </c>
      <c r="J65" s="20" t="s">
        <v>349</v>
      </c>
      <c r="K65" s="18" t="n">
        <v>1.9291719</v>
      </c>
      <c r="L65" s="20" t="n">
        <v>0.6749544</v>
      </c>
      <c r="M65" s="18" t="n">
        <v>0</v>
      </c>
      <c r="N65" s="20" t="n">
        <v>0</v>
      </c>
      <c r="O65" s="18" t="n">
        <v>0</v>
      </c>
      <c r="P65" s="20" t="n">
        <v>0</v>
      </c>
      <c r="Q65" s="18" t="n">
        <v>2.61210474</v>
      </c>
      <c r="R65" s="20" t="n">
        <v>0.75679048</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(2040.0/B69*100)</f>
        <v/>
      </c>
      <c r="D69" s="19" t="n">
        <v>426</v>
      </c>
      <c r="E69" s="18" t="n">
        <v>48.98198323</v>
      </c>
      <c r="F69" s="20" t="n">
        <v>2.26986233</v>
      </c>
      <c r="G69" s="18" t="n">
        <v>51.01801677</v>
      </c>
      <c r="H69" s="20" t="n">
        <v>2.26986233</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(2048.0/B74*100)</f>
        <v/>
      </c>
      <c r="D74" s="19" t="n">
        <v>405</v>
      </c>
      <c r="E74" s="18" t="n">
        <v>40.84550948</v>
      </c>
      <c r="F74" s="20" t="n">
        <v>2.65704747</v>
      </c>
      <c r="G74" s="18" t="n">
        <v>54.07215255</v>
      </c>
      <c r="H74" s="20" t="n">
        <v>2.7279331</v>
      </c>
      <c r="I74" s="18" t="s">
        <v>349</v>
      </c>
      <c r="J74" s="20" t="s">
        <v>349</v>
      </c>
      <c r="K74" s="18" t="n">
        <v>3.45616931</v>
      </c>
      <c r="L74" s="20" t="n">
        <v>0.84899867</v>
      </c>
      <c r="M74" s="18" t="n">
        <v>0</v>
      </c>
      <c r="N74" s="20" t="n">
        <v>0</v>
      </c>
      <c r="O74" s="18" t="n">
        <v>0</v>
      </c>
      <c r="P74" s="20" t="n">
        <v>0</v>
      </c>
      <c r="Q74" s="18" t="n">
        <v>1.62616866</v>
      </c>
      <c r="R74" s="20" t="n">
        <v>0.68886803</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(2531.0/B78*100)</f>
        <v/>
      </c>
      <c r="D78" s="19" t="n">
        <v>509</v>
      </c>
      <c r="E78" s="18" t="n">
        <v>11.09102029</v>
      </c>
      <c r="F78" s="20" t="n">
        <v>1.54643833</v>
      </c>
      <c r="G78" s="18" t="n">
        <v>88.90897971</v>
      </c>
      <c r="H78" s="20" t="n">
        <v>1.54643833</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(735.0/B79*100)</f>
        <v/>
      </c>
      <c r="D79" s="19" t="n">
        <v>135</v>
      </c>
      <c r="E79" s="18" t="n">
        <v>27.73318983</v>
      </c>
      <c r="F79" s="20" t="n">
        <v>4.69412824</v>
      </c>
      <c r="G79" s="18" t="n">
        <v>67.20805765999999</v>
      </c>
      <c r="H79" s="20" t="n">
        <v>4.92696863</v>
      </c>
      <c r="I79" s="18" t="s">
        <v>349</v>
      </c>
      <c r="J79" s="20" t="s">
        <v>349</v>
      </c>
      <c r="K79" s="18" t="n">
        <v>2.81312625</v>
      </c>
      <c r="L79" s="20" t="n">
        <v>1.48754631</v>
      </c>
      <c r="M79" s="18" t="n">
        <v>0</v>
      </c>
      <c r="N79" s="20" t="n">
        <v>0</v>
      </c>
      <c r="O79" s="18" t="n">
        <v>0</v>
      </c>
      <c r="P79" s="20" t="n">
        <v>0</v>
      </c>
      <c r="Q79" s="18" t="n">
        <v>2.24562627</v>
      </c>
      <c r="R79" s="20" t="n">
        <v>1.18831759</v>
      </c>
    </row>
    <row r="80" spans="1:18">
      <c r="A80" s="15" t="s">
        <v>422</v>
      </c>
      <c r="B80" s="17" t="n">
        <v>4043</v>
      </c>
      <c r="C80" s="18">
        <f>(3366.0/B80*100)</f>
        <v/>
      </c>
      <c r="D80" s="19" t="n">
        <v>677</v>
      </c>
      <c r="E80" s="18" t="n">
        <v>32.54830729</v>
      </c>
      <c r="F80" s="20" t="n">
        <v>2.56765754</v>
      </c>
      <c r="G80" s="18" t="n">
        <v>66.7815356</v>
      </c>
      <c r="H80" s="20" t="n">
        <v>2.64154909</v>
      </c>
      <c r="I80" s="18" t="s">
        <v>349</v>
      </c>
      <c r="J80" s="20" t="s">
        <v>349</v>
      </c>
      <c r="K80" s="18" t="n">
        <v>0</v>
      </c>
      <c r="L80" s="20" t="n">
        <v>0</v>
      </c>
      <c r="M80" s="18" t="n">
        <v>0</v>
      </c>
      <c r="N80" s="20" t="n">
        <v>0</v>
      </c>
      <c r="O80" s="18" t="n">
        <v>0</v>
      </c>
      <c r="P80" s="20" t="n">
        <v>0</v>
      </c>
      <c r="Q80" s="18" t="n">
        <v>0.6701571</v>
      </c>
      <c r="R80" s="20" t="n">
        <v>0.38421724</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(2239.0/B44*100)</f>
        <v/>
      </c>
      <c r="D44" s="19" t="n">
        <v>452</v>
      </c>
      <c r="E44" s="18" t="n">
        <v>68.98049183000001</v>
      </c>
      <c r="F44" s="20" t="n">
        <v>2.27531875</v>
      </c>
      <c r="G44" s="18" t="n">
        <v>25.95971723</v>
      </c>
      <c r="H44" s="20" t="n">
        <v>2.2594474</v>
      </c>
      <c r="I44" s="18" t="s">
        <v>349</v>
      </c>
      <c r="J44" s="20" t="s">
        <v>349</v>
      </c>
      <c r="K44" s="18" t="n">
        <v>1.18017204</v>
      </c>
      <c r="L44" s="20" t="n">
        <v>0.54079683</v>
      </c>
      <c r="M44" s="18" t="n">
        <v>0</v>
      </c>
      <c r="N44" s="20" t="n">
        <v>0</v>
      </c>
      <c r="O44" s="18" t="n">
        <v>0</v>
      </c>
      <c r="P44" s="20" t="n">
        <v>0</v>
      </c>
      <c r="Q44" s="18" t="n">
        <v>3.8796189</v>
      </c>
      <c r="R44" s="20" t="n">
        <v>1.31592656</v>
      </c>
    </row>
    <row r="45" spans="1:18">
      <c r="A45" s="15" t="s">
        <v>387</v>
      </c>
      <c r="B45" s="17" t="n">
        <v>2670</v>
      </c>
      <c r="C45" s="18">
        <f>(2262.0/B45*100)</f>
        <v/>
      </c>
      <c r="D45" s="19" t="n">
        <v>408</v>
      </c>
      <c r="E45" s="18" t="n">
        <v>73.72886656</v>
      </c>
      <c r="F45" s="20" t="n">
        <v>1.99219245</v>
      </c>
      <c r="G45" s="18" t="n">
        <v>16.16962409</v>
      </c>
      <c r="H45" s="20" t="n">
        <v>1.61892644</v>
      </c>
      <c r="I45" s="18" t="s">
        <v>349</v>
      </c>
      <c r="J45" s="20" t="s">
        <v>349</v>
      </c>
      <c r="K45" s="18" t="n">
        <v>4.62993442</v>
      </c>
      <c r="L45" s="20" t="n">
        <v>1.04847267</v>
      </c>
      <c r="M45" s="18" t="n">
        <v>0</v>
      </c>
      <c r="N45" s="20" t="n">
        <v>0</v>
      </c>
      <c r="O45" s="18" t="n">
        <v>1.27556097</v>
      </c>
      <c r="P45" s="20" t="n">
        <v>0.61488258</v>
      </c>
      <c r="Q45" s="18" t="n">
        <v>4.19601395</v>
      </c>
      <c r="R45" s="20" t="n">
        <v>1.03427012</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(2794.0/B49*100)</f>
        <v/>
      </c>
      <c r="D49" s="19" t="n">
        <v>537</v>
      </c>
      <c r="E49" s="18" t="n">
        <v>69.50311567999999</v>
      </c>
      <c r="F49" s="20" t="n">
        <v>2.47654981</v>
      </c>
      <c r="G49" s="18" t="n">
        <v>27.21033103</v>
      </c>
      <c r="H49" s="20" t="n">
        <v>2.46080961</v>
      </c>
      <c r="I49" s="18" t="s">
        <v>349</v>
      </c>
      <c r="J49" s="20" t="s">
        <v>349</v>
      </c>
      <c r="K49" s="18" t="n">
        <v>1.41870747</v>
      </c>
      <c r="L49" s="20" t="n">
        <v>0.6112425</v>
      </c>
      <c r="M49" s="18" t="n">
        <v>0</v>
      </c>
      <c r="N49" s="20" t="n">
        <v>0</v>
      </c>
      <c r="O49" s="18" t="n">
        <v>0</v>
      </c>
      <c r="P49" s="20" t="n">
        <v>0</v>
      </c>
      <c r="Q49" s="18" t="n">
        <v>1.86784582</v>
      </c>
      <c r="R49" s="20" t="n">
        <v>0.60323027</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(2122.0/B55*100)</f>
        <v/>
      </c>
      <c r="D55" s="19" t="n">
        <v>435</v>
      </c>
      <c r="E55" s="18" t="n">
        <v>60.77472948</v>
      </c>
      <c r="F55" s="20" t="n">
        <v>2.48866037</v>
      </c>
      <c r="G55" s="18" t="n">
        <v>35.40619439</v>
      </c>
      <c r="H55" s="20" t="n">
        <v>2.50669755</v>
      </c>
      <c r="I55" s="18" t="s">
        <v>349</v>
      </c>
      <c r="J55" s="20" t="s">
        <v>349</v>
      </c>
      <c r="K55" s="18" t="n">
        <v>1.20750055</v>
      </c>
      <c r="L55" s="20" t="n">
        <v>0.50973557</v>
      </c>
      <c r="M55" s="18" t="n">
        <v>0</v>
      </c>
      <c r="N55" s="20" t="n">
        <v>0</v>
      </c>
      <c r="O55" s="18" t="n">
        <v>0.38683471</v>
      </c>
      <c r="P55" s="20" t="n">
        <v>0.23049314</v>
      </c>
      <c r="Q55" s="18" t="n">
        <v>2.22474088</v>
      </c>
      <c r="R55" s="20" t="n">
        <v>0.62061612</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(2817.0/B57*100)</f>
        <v/>
      </c>
      <c r="D57" s="19" t="n">
        <v>526</v>
      </c>
      <c r="E57" s="18" t="n">
        <v>75.93006779</v>
      </c>
      <c r="F57" s="20" t="n">
        <v>2.11989969</v>
      </c>
      <c r="G57" s="18" t="n">
        <v>21.60078861</v>
      </c>
      <c r="H57" s="20" t="n">
        <v>2.28523289</v>
      </c>
      <c r="I57" s="18" t="s">
        <v>349</v>
      </c>
      <c r="J57" s="20" t="s">
        <v>349</v>
      </c>
      <c r="K57" s="18" t="n">
        <v>0.60598816</v>
      </c>
      <c r="L57" s="20" t="n">
        <v>0.42839866</v>
      </c>
      <c r="M57" s="18" t="n">
        <v>0</v>
      </c>
      <c r="N57" s="20" t="n">
        <v>0</v>
      </c>
      <c r="O57" s="18" t="n">
        <v>0</v>
      </c>
      <c r="P57" s="20" t="n">
        <v>0</v>
      </c>
      <c r="Q57" s="18" t="n">
        <v>1.86315545</v>
      </c>
      <c r="R57" s="20" t="n">
        <v>0.62024815</v>
      </c>
    </row>
    <row r="58" spans="1:18">
      <c r="A58" s="15" t="s">
        <v>400</v>
      </c>
      <c r="B58" s="17" t="n">
        <v>3737</v>
      </c>
      <c r="C58" s="18">
        <f>(3129.0/B58*100)</f>
        <v/>
      </c>
      <c r="D58" s="19" t="n">
        <v>608</v>
      </c>
      <c r="E58" s="18" t="n">
        <v>76.42434181</v>
      </c>
      <c r="F58" s="20" t="n">
        <v>1.90904246</v>
      </c>
      <c r="G58" s="18" t="n">
        <v>18.57238753</v>
      </c>
      <c r="H58" s="20" t="n">
        <v>1.81967246</v>
      </c>
      <c r="I58" s="18" t="s">
        <v>349</v>
      </c>
      <c r="J58" s="20" t="s">
        <v>349</v>
      </c>
      <c r="K58" s="18" t="n">
        <v>0.64150896</v>
      </c>
      <c r="L58" s="20" t="n">
        <v>0.37054171</v>
      </c>
      <c r="M58" s="18" t="n">
        <v>0</v>
      </c>
      <c r="N58" s="20" t="n">
        <v>0</v>
      </c>
      <c r="O58" s="18" t="n">
        <v>0.22155281</v>
      </c>
      <c r="P58" s="20" t="n">
        <v>0.15861177</v>
      </c>
      <c r="Q58" s="18" t="n">
        <v>4.14020888</v>
      </c>
      <c r="R58" s="20" t="n">
        <v>0.95289844</v>
      </c>
    </row>
    <row r="59" spans="1:18">
      <c r="A59" s="15" t="s">
        <v>401</v>
      </c>
      <c r="B59" s="17" t="n">
        <v>2278</v>
      </c>
      <c r="C59" s="18">
        <f>(1870.0/B59*100)</f>
        <v/>
      </c>
      <c r="D59" s="19" t="n">
        <v>408</v>
      </c>
      <c r="E59" s="18" t="n">
        <v>75.04282416</v>
      </c>
      <c r="F59" s="20" t="n">
        <v>2.34638998</v>
      </c>
      <c r="G59" s="18" t="n">
        <v>22.53823652</v>
      </c>
      <c r="H59" s="20" t="n">
        <v>2.1845257</v>
      </c>
      <c r="I59" s="18" t="s">
        <v>349</v>
      </c>
      <c r="J59" s="20" t="s">
        <v>349</v>
      </c>
      <c r="K59" s="18" t="n">
        <v>0.81411788</v>
      </c>
      <c r="L59" s="20" t="n">
        <v>0.37567551</v>
      </c>
      <c r="M59" s="18" t="n">
        <v>0</v>
      </c>
      <c r="N59" s="20" t="n">
        <v>0</v>
      </c>
      <c r="O59" s="18" t="n">
        <v>0.49448328</v>
      </c>
      <c r="P59" s="20" t="n">
        <v>0.34910398</v>
      </c>
      <c r="Q59" s="18" t="n">
        <v>1.11033816</v>
      </c>
      <c r="R59" s="20" t="n">
        <v>0.69738627</v>
      </c>
    </row>
    <row r="60" spans="1:18">
      <c r="A60" s="15" t="s">
        <v>402</v>
      </c>
      <c r="B60" s="17" t="n">
        <v>2451</v>
      </c>
      <c r="C60" s="18">
        <f>(2052.0/B60*100)</f>
        <v/>
      </c>
      <c r="D60" s="19" t="n">
        <v>399</v>
      </c>
      <c r="E60" s="18" t="n">
        <v>70.06331523</v>
      </c>
      <c r="F60" s="20" t="n">
        <v>2.69178325</v>
      </c>
      <c r="G60" s="18" t="n">
        <v>19.97466137</v>
      </c>
      <c r="H60" s="20" t="n">
        <v>1.95860926</v>
      </c>
      <c r="I60" s="18" t="s">
        <v>349</v>
      </c>
      <c r="J60" s="20" t="s">
        <v>349</v>
      </c>
      <c r="K60" s="18" t="n">
        <v>3.05949916</v>
      </c>
      <c r="L60" s="20" t="n">
        <v>0.84643178</v>
      </c>
      <c r="M60" s="18" t="n">
        <v>0</v>
      </c>
      <c r="N60" s="20" t="n">
        <v>0</v>
      </c>
      <c r="O60" s="18" t="n">
        <v>0</v>
      </c>
      <c r="P60" s="20" t="n">
        <v>0</v>
      </c>
      <c r="Q60" s="18" t="n">
        <v>6.90252424</v>
      </c>
      <c r="R60" s="20" t="n">
        <v>1.58699526</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(2106.0/B63*100)</f>
        <v/>
      </c>
      <c r="D63" s="19" t="n">
        <v>405</v>
      </c>
      <c r="E63" s="18" t="n">
        <v>69.28027466</v>
      </c>
      <c r="F63" s="20" t="n">
        <v>2.71904172</v>
      </c>
      <c r="G63" s="18" t="n">
        <v>24.50434108</v>
      </c>
      <c r="H63" s="20" t="n">
        <v>2.48390411</v>
      </c>
      <c r="I63" s="18" t="s">
        <v>349</v>
      </c>
      <c r="J63" s="20" t="s">
        <v>349</v>
      </c>
      <c r="K63" s="18" t="n">
        <v>3.96662772</v>
      </c>
      <c r="L63" s="20" t="n">
        <v>1.06945716</v>
      </c>
      <c r="M63" s="18" t="n">
        <v>0</v>
      </c>
      <c r="N63" s="20" t="n">
        <v>0</v>
      </c>
      <c r="O63" s="18" t="n">
        <v>0</v>
      </c>
      <c r="P63" s="20" t="n">
        <v>0</v>
      </c>
      <c r="Q63" s="18" t="n">
        <v>2.24875655</v>
      </c>
      <c r="R63" s="20" t="n">
        <v>0.70964782</v>
      </c>
    </row>
    <row r="64" spans="1:18">
      <c r="A64" s="15" t="s">
        <v>406</v>
      </c>
      <c r="B64" s="17" t="n">
        <v>1790</v>
      </c>
      <c r="C64" s="18">
        <f>(1495.0/B64*100)</f>
        <v/>
      </c>
      <c r="D64" s="19" t="n">
        <v>295</v>
      </c>
      <c r="E64" s="18" t="n">
        <v>56.85363016</v>
      </c>
      <c r="F64" s="20" t="n">
        <v>2.89507638</v>
      </c>
      <c r="G64" s="18" t="n">
        <v>40.32143585</v>
      </c>
      <c r="H64" s="20" t="n">
        <v>2.92158209</v>
      </c>
      <c r="I64" s="18" t="s">
        <v>349</v>
      </c>
      <c r="J64" s="20" t="s">
        <v>349</v>
      </c>
      <c r="K64" s="18" t="n">
        <v>0.45425978</v>
      </c>
      <c r="L64" s="20" t="n">
        <v>0.45517393</v>
      </c>
      <c r="M64" s="18" t="n">
        <v>0</v>
      </c>
      <c r="N64" s="20" t="n">
        <v>0</v>
      </c>
      <c r="O64" s="18" t="n">
        <v>0</v>
      </c>
      <c r="P64" s="20" t="n">
        <v>0</v>
      </c>
      <c r="Q64" s="18" t="n">
        <v>2.37067421</v>
      </c>
      <c r="R64" s="20" t="n">
        <v>1.13335474</v>
      </c>
    </row>
    <row r="65" spans="1:18">
      <c r="A65" s="15" t="s">
        <v>407</v>
      </c>
      <c r="B65" s="17" t="n">
        <v>2634</v>
      </c>
      <c r="C65" s="18">
        <f>(2201.0/B65*100)</f>
        <v/>
      </c>
      <c r="D65" s="19" t="n">
        <v>433</v>
      </c>
      <c r="E65" s="18" t="n">
        <v>69.0884156</v>
      </c>
      <c r="F65" s="20" t="n">
        <v>1.98602962</v>
      </c>
      <c r="G65" s="18" t="n">
        <v>24.37314942</v>
      </c>
      <c r="H65" s="20" t="n">
        <v>1.82660605</v>
      </c>
      <c r="I65" s="18" t="s">
        <v>349</v>
      </c>
      <c r="J65" s="20" t="s">
        <v>349</v>
      </c>
      <c r="K65" s="18" t="n">
        <v>2.77058296</v>
      </c>
      <c r="L65" s="20" t="n">
        <v>0.74712749</v>
      </c>
      <c r="M65" s="18" t="n">
        <v>0</v>
      </c>
      <c r="N65" s="20" t="n">
        <v>0</v>
      </c>
      <c r="O65" s="18" t="n">
        <v>0</v>
      </c>
      <c r="P65" s="20" t="n">
        <v>0</v>
      </c>
      <c r="Q65" s="18" t="n">
        <v>3.76785202</v>
      </c>
      <c r="R65" s="20" t="n">
        <v>0.95258486</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(2040.0/B69*100)</f>
        <v/>
      </c>
      <c r="D69" s="19" t="n">
        <v>426</v>
      </c>
      <c r="E69" s="18" t="n">
        <v>70.90026889000001</v>
      </c>
      <c r="F69" s="20" t="n">
        <v>2.00587597</v>
      </c>
      <c r="G69" s="18" t="n">
        <v>29.09973111</v>
      </c>
      <c r="H69" s="20" t="n">
        <v>2.00587597</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(2048.0/B74*100)</f>
        <v/>
      </c>
      <c r="D74" s="19" t="n">
        <v>405</v>
      </c>
      <c r="E74" s="18" t="n">
        <v>72.41459946000001</v>
      </c>
      <c r="F74" s="20" t="n">
        <v>2.41502268</v>
      </c>
      <c r="G74" s="18" t="n">
        <v>21.18905626</v>
      </c>
      <c r="H74" s="20" t="n">
        <v>2.17366627</v>
      </c>
      <c r="I74" s="18" t="s">
        <v>349</v>
      </c>
      <c r="J74" s="20" t="s">
        <v>349</v>
      </c>
      <c r="K74" s="18" t="n">
        <v>3.93245422</v>
      </c>
      <c r="L74" s="20" t="n">
        <v>0.90803257</v>
      </c>
      <c r="M74" s="18" t="n">
        <v>0</v>
      </c>
      <c r="N74" s="20" t="n">
        <v>0</v>
      </c>
      <c r="O74" s="18" t="n">
        <v>0</v>
      </c>
      <c r="P74" s="20" t="n">
        <v>0</v>
      </c>
      <c r="Q74" s="18" t="n">
        <v>2.46389006</v>
      </c>
      <c r="R74" s="20" t="n">
        <v>0.78690751</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(2531.0/B78*100)</f>
        <v/>
      </c>
      <c r="D78" s="19" t="n">
        <v>509</v>
      </c>
      <c r="E78" s="18" t="n">
        <v>42.75303542</v>
      </c>
      <c r="F78" s="20" t="n">
        <v>2.41538625</v>
      </c>
      <c r="G78" s="18" t="n">
        <v>57.24696458</v>
      </c>
      <c r="H78" s="20" t="n">
        <v>2.41538625</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(735.0/B79*100)</f>
        <v/>
      </c>
      <c r="D79" s="19" t="n">
        <v>135</v>
      </c>
      <c r="E79" s="18" t="n">
        <v>55.20070143</v>
      </c>
      <c r="F79" s="20" t="n">
        <v>5.9554754</v>
      </c>
      <c r="G79" s="18" t="n">
        <v>36.13804636</v>
      </c>
      <c r="H79" s="20" t="n">
        <v>5.66354294</v>
      </c>
      <c r="I79" s="18" t="s">
        <v>349</v>
      </c>
      <c r="J79" s="20" t="s">
        <v>349</v>
      </c>
      <c r="K79" s="18" t="n">
        <v>3.16863512</v>
      </c>
      <c r="L79" s="20" t="n">
        <v>1.52767803</v>
      </c>
      <c r="M79" s="18" t="n">
        <v>0</v>
      </c>
      <c r="N79" s="20" t="n">
        <v>0</v>
      </c>
      <c r="O79" s="18" t="n">
        <v>0</v>
      </c>
      <c r="P79" s="20" t="n">
        <v>0</v>
      </c>
      <c r="Q79" s="18" t="n">
        <v>5.49261708</v>
      </c>
      <c r="R79" s="20" t="n">
        <v>1.99855136</v>
      </c>
    </row>
    <row r="80" spans="1:18">
      <c r="A80" s="15" t="s">
        <v>422</v>
      </c>
      <c r="B80" s="17" t="n">
        <v>4043</v>
      </c>
      <c r="C80" s="18">
        <f>(3366.0/B80*100)</f>
        <v/>
      </c>
      <c r="D80" s="19" t="n">
        <v>677</v>
      </c>
      <c r="E80" s="18" t="n">
        <v>52.28017557</v>
      </c>
      <c r="F80" s="20" t="n">
        <v>2.50462613</v>
      </c>
      <c r="G80" s="18" t="n">
        <v>46.72843953</v>
      </c>
      <c r="H80" s="20" t="n">
        <v>2.57372213</v>
      </c>
      <c r="I80" s="18" t="s">
        <v>349</v>
      </c>
      <c r="J80" s="20" t="s">
        <v>349</v>
      </c>
      <c r="K80" s="18" t="n">
        <v>0</v>
      </c>
      <c r="L80" s="20" t="n">
        <v>0</v>
      </c>
      <c r="M80" s="18" t="n">
        <v>0</v>
      </c>
      <c r="N80" s="20" t="n">
        <v>0</v>
      </c>
      <c r="O80" s="18" t="n">
        <v>0</v>
      </c>
      <c r="P80" s="20" t="n">
        <v>0</v>
      </c>
      <c r="Q80" s="18" t="n">
        <v>0.9913849</v>
      </c>
      <c r="R80" s="20" t="n">
        <v>0.50695379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(2239.0/B44*100)</f>
        <v/>
      </c>
      <c r="D44" s="19" t="n">
        <v>452</v>
      </c>
      <c r="E44" s="18" t="n">
        <v>27.05050672</v>
      </c>
      <c r="F44" s="20" t="n">
        <v>2.62002872</v>
      </c>
      <c r="G44" s="18" t="n">
        <v>64.78442539</v>
      </c>
      <c r="H44" s="20" t="n">
        <v>2.52777529</v>
      </c>
      <c r="I44" s="18" t="s">
        <v>349</v>
      </c>
      <c r="J44" s="20" t="s">
        <v>349</v>
      </c>
      <c r="K44" s="18" t="n">
        <v>2.57221568</v>
      </c>
      <c r="L44" s="20" t="n">
        <v>1.12097924</v>
      </c>
      <c r="M44" s="18" t="n">
        <v>0</v>
      </c>
      <c r="N44" s="20" t="n">
        <v>0</v>
      </c>
      <c r="O44" s="18" t="n">
        <v>0</v>
      </c>
      <c r="P44" s="20" t="n">
        <v>0</v>
      </c>
      <c r="Q44" s="18" t="n">
        <v>5.59285221</v>
      </c>
      <c r="R44" s="20" t="n">
        <v>1.27135078</v>
      </c>
    </row>
    <row r="45" spans="1:18">
      <c r="A45" s="15" t="s">
        <v>387</v>
      </c>
      <c r="B45" s="17" t="n">
        <v>2670</v>
      </c>
      <c r="C45" s="18">
        <f>(2262.0/B45*100)</f>
        <v/>
      </c>
      <c r="D45" s="19" t="n">
        <v>408</v>
      </c>
      <c r="E45" s="18" t="n">
        <v>49.88826574</v>
      </c>
      <c r="F45" s="20" t="n">
        <v>2.94341833</v>
      </c>
      <c r="G45" s="18" t="n">
        <v>39.10550453</v>
      </c>
      <c r="H45" s="20" t="n">
        <v>2.76893033</v>
      </c>
      <c r="I45" s="18" t="s">
        <v>349</v>
      </c>
      <c r="J45" s="20" t="s">
        <v>349</v>
      </c>
      <c r="K45" s="18" t="n">
        <v>5.46835589</v>
      </c>
      <c r="L45" s="20" t="n">
        <v>1.08725238</v>
      </c>
      <c r="M45" s="18" t="n">
        <v>0</v>
      </c>
      <c r="N45" s="20" t="n">
        <v>0</v>
      </c>
      <c r="O45" s="18" t="n">
        <v>0.35632104</v>
      </c>
      <c r="P45" s="20" t="n">
        <v>0.33774757</v>
      </c>
      <c r="Q45" s="18" t="n">
        <v>5.1815528</v>
      </c>
      <c r="R45" s="20" t="n">
        <v>1.22384187</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(2794.0/B49*100)</f>
        <v/>
      </c>
      <c r="D49" s="19" t="n">
        <v>537</v>
      </c>
      <c r="E49" s="18" t="n">
        <v>32.86941936</v>
      </c>
      <c r="F49" s="20" t="n">
        <v>2.37178659</v>
      </c>
      <c r="G49" s="18" t="n">
        <v>59.01698161</v>
      </c>
      <c r="H49" s="20" t="n">
        <v>2.38971465</v>
      </c>
      <c r="I49" s="18" t="s">
        <v>349</v>
      </c>
      <c r="J49" s="20" t="s">
        <v>349</v>
      </c>
      <c r="K49" s="18" t="n">
        <v>1.89062686</v>
      </c>
      <c r="L49" s="20" t="n">
        <v>0.70296879</v>
      </c>
      <c r="M49" s="18" t="n">
        <v>0</v>
      </c>
      <c r="N49" s="20" t="n">
        <v>0</v>
      </c>
      <c r="O49" s="18" t="n">
        <v>0</v>
      </c>
      <c r="P49" s="20" t="n">
        <v>0</v>
      </c>
      <c r="Q49" s="18" t="n">
        <v>6.22297218</v>
      </c>
      <c r="R49" s="20" t="n">
        <v>1.16164633</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(2122.0/B55*100)</f>
        <v/>
      </c>
      <c r="D55" s="19" t="n">
        <v>435</v>
      </c>
      <c r="E55" s="18" t="n">
        <v>36.80173516</v>
      </c>
      <c r="F55" s="20" t="n">
        <v>2.61616741</v>
      </c>
      <c r="G55" s="18" t="n">
        <v>53.80627572</v>
      </c>
      <c r="H55" s="20" t="n">
        <v>2.96880557</v>
      </c>
      <c r="I55" s="18" t="s">
        <v>349</v>
      </c>
      <c r="J55" s="20" t="s">
        <v>349</v>
      </c>
      <c r="K55" s="18" t="n">
        <v>1.84795021</v>
      </c>
      <c r="L55" s="20" t="n">
        <v>0.64885498</v>
      </c>
      <c r="M55" s="18" t="n">
        <v>0</v>
      </c>
      <c r="N55" s="20" t="n">
        <v>0</v>
      </c>
      <c r="O55" s="18" t="n">
        <v>0.2097622</v>
      </c>
      <c r="P55" s="20" t="n">
        <v>0.209322</v>
      </c>
      <c r="Q55" s="18" t="n">
        <v>7.33427672</v>
      </c>
      <c r="R55" s="20" t="n">
        <v>1.28913456</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(2817.0/B57*100)</f>
        <v/>
      </c>
      <c r="D57" s="19" t="n">
        <v>526</v>
      </c>
      <c r="E57" s="18" t="n">
        <v>38.95884462</v>
      </c>
      <c r="F57" s="20" t="n">
        <v>2.39519214</v>
      </c>
      <c r="G57" s="18" t="n">
        <v>55.88782911</v>
      </c>
      <c r="H57" s="20" t="n">
        <v>2.65201715</v>
      </c>
      <c r="I57" s="18" t="s">
        <v>349</v>
      </c>
      <c r="J57" s="20" t="s">
        <v>349</v>
      </c>
      <c r="K57" s="18" t="n">
        <v>0.60598816</v>
      </c>
      <c r="L57" s="20" t="n">
        <v>0.42839866</v>
      </c>
      <c r="M57" s="18" t="n">
        <v>0</v>
      </c>
      <c r="N57" s="20" t="n">
        <v>0</v>
      </c>
      <c r="O57" s="18" t="n">
        <v>0</v>
      </c>
      <c r="P57" s="20" t="n">
        <v>0</v>
      </c>
      <c r="Q57" s="18" t="n">
        <v>4.54733811</v>
      </c>
      <c r="R57" s="20" t="n">
        <v>1.14449706</v>
      </c>
    </row>
    <row r="58" spans="1:18">
      <c r="A58" s="15" t="s">
        <v>400</v>
      </c>
      <c r="B58" s="17" t="n">
        <v>3737</v>
      </c>
      <c r="C58" s="18">
        <f>(3129.0/B58*100)</f>
        <v/>
      </c>
      <c r="D58" s="19" t="n">
        <v>608</v>
      </c>
      <c r="E58" s="18" t="n">
        <v>36.40028699</v>
      </c>
      <c r="F58" s="20" t="n">
        <v>2.99908886</v>
      </c>
      <c r="G58" s="18" t="n">
        <v>61.56100265</v>
      </c>
      <c r="H58" s="20" t="n">
        <v>3.03412601</v>
      </c>
      <c r="I58" s="18" t="s">
        <v>349</v>
      </c>
      <c r="J58" s="20" t="s">
        <v>349</v>
      </c>
      <c r="K58" s="18" t="n">
        <v>1.03011566</v>
      </c>
      <c r="L58" s="20" t="n">
        <v>0.46010737</v>
      </c>
      <c r="M58" s="18" t="n">
        <v>0</v>
      </c>
      <c r="N58" s="20" t="n">
        <v>0</v>
      </c>
      <c r="O58" s="18" t="n">
        <v>0</v>
      </c>
      <c r="P58" s="20" t="n">
        <v>0</v>
      </c>
      <c r="Q58" s="18" t="n">
        <v>1.0085947</v>
      </c>
      <c r="R58" s="20" t="n">
        <v>0.43844434</v>
      </c>
    </row>
    <row r="59" spans="1:18">
      <c r="A59" s="15" t="s">
        <v>401</v>
      </c>
      <c r="B59" s="17" t="n">
        <v>2278</v>
      </c>
      <c r="C59" s="18">
        <f>(1870.0/B59*100)</f>
        <v/>
      </c>
      <c r="D59" s="19" t="n">
        <v>408</v>
      </c>
      <c r="E59" s="18" t="n">
        <v>37.81702254</v>
      </c>
      <c r="F59" s="20" t="n">
        <v>2.87508251</v>
      </c>
      <c r="G59" s="18" t="n">
        <v>53.27003682</v>
      </c>
      <c r="H59" s="20" t="n">
        <v>3.0953953</v>
      </c>
      <c r="I59" s="18" t="s">
        <v>349</v>
      </c>
      <c r="J59" s="20" t="s">
        <v>349</v>
      </c>
      <c r="K59" s="18" t="n">
        <v>1.06328535</v>
      </c>
      <c r="L59" s="20" t="n">
        <v>0.39907973</v>
      </c>
      <c r="M59" s="18" t="n">
        <v>0</v>
      </c>
      <c r="N59" s="20" t="n">
        <v>0</v>
      </c>
      <c r="O59" s="18" t="n">
        <v>0</v>
      </c>
      <c r="P59" s="20" t="n">
        <v>0</v>
      </c>
      <c r="Q59" s="18" t="n">
        <v>7.84965529</v>
      </c>
      <c r="R59" s="20" t="n">
        <v>1.68050096</v>
      </c>
    </row>
    <row r="60" spans="1:18">
      <c r="A60" s="15" t="s">
        <v>402</v>
      </c>
      <c r="B60" s="17" t="n">
        <v>2451</v>
      </c>
      <c r="C60" s="18">
        <f>(2052.0/B60*100)</f>
        <v/>
      </c>
      <c r="D60" s="19" t="n">
        <v>399</v>
      </c>
      <c r="E60" s="18" t="n">
        <v>37.44883026</v>
      </c>
      <c r="F60" s="20" t="n">
        <v>2.62197484</v>
      </c>
      <c r="G60" s="18" t="n">
        <v>49.44981284</v>
      </c>
      <c r="H60" s="20" t="n">
        <v>2.98273325</v>
      </c>
      <c r="I60" s="18" t="s">
        <v>349</v>
      </c>
      <c r="J60" s="20" t="s">
        <v>349</v>
      </c>
      <c r="K60" s="18" t="n">
        <v>3.3201942</v>
      </c>
      <c r="L60" s="20" t="n">
        <v>0.96100096</v>
      </c>
      <c r="M60" s="18" t="n">
        <v>0</v>
      </c>
      <c r="N60" s="20" t="n">
        <v>0</v>
      </c>
      <c r="O60" s="18" t="n">
        <v>0</v>
      </c>
      <c r="P60" s="20" t="n">
        <v>0</v>
      </c>
      <c r="Q60" s="18" t="n">
        <v>9.781162699999999</v>
      </c>
      <c r="R60" s="20" t="n">
        <v>1.66556112</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(2106.0/B63*100)</f>
        <v/>
      </c>
      <c r="D63" s="19" t="n">
        <v>405</v>
      </c>
      <c r="E63" s="18" t="n">
        <v>32.09073903</v>
      </c>
      <c r="F63" s="20" t="n">
        <v>2.46540378</v>
      </c>
      <c r="G63" s="18" t="n">
        <v>48.02612817</v>
      </c>
      <c r="H63" s="20" t="n">
        <v>2.77669422</v>
      </c>
      <c r="I63" s="18" t="s">
        <v>349</v>
      </c>
      <c r="J63" s="20" t="s">
        <v>349</v>
      </c>
      <c r="K63" s="18" t="n">
        <v>6.2578788</v>
      </c>
      <c r="L63" s="20" t="n">
        <v>1.18788228</v>
      </c>
      <c r="M63" s="18" t="n">
        <v>0</v>
      </c>
      <c r="N63" s="20" t="n">
        <v>0</v>
      </c>
      <c r="O63" s="18" t="n">
        <v>0</v>
      </c>
      <c r="P63" s="20" t="n">
        <v>0</v>
      </c>
      <c r="Q63" s="18" t="n">
        <v>13.625254</v>
      </c>
      <c r="R63" s="20" t="n">
        <v>1.58434806</v>
      </c>
    </row>
    <row r="64" spans="1:18">
      <c r="A64" s="15" t="s">
        <v>406</v>
      </c>
      <c r="B64" s="17" t="n">
        <v>1790</v>
      </c>
      <c r="C64" s="18">
        <f>(1495.0/B64*100)</f>
        <v/>
      </c>
      <c r="D64" s="19" t="n">
        <v>295</v>
      </c>
      <c r="E64" s="18" t="n">
        <v>28.38709877</v>
      </c>
      <c r="F64" s="20" t="n">
        <v>2.85237052</v>
      </c>
      <c r="G64" s="18" t="n">
        <v>67.38266849999999</v>
      </c>
      <c r="H64" s="20" t="n">
        <v>3.07648917</v>
      </c>
      <c r="I64" s="18" t="s">
        <v>349</v>
      </c>
      <c r="J64" s="20" t="s">
        <v>349</v>
      </c>
      <c r="K64" s="18" t="n">
        <v>1.17097337</v>
      </c>
      <c r="L64" s="20" t="n">
        <v>0.6861805399999999</v>
      </c>
      <c r="M64" s="18" t="n">
        <v>0</v>
      </c>
      <c r="N64" s="20" t="n">
        <v>0</v>
      </c>
      <c r="O64" s="18" t="n">
        <v>0</v>
      </c>
      <c r="P64" s="20" t="n">
        <v>0</v>
      </c>
      <c r="Q64" s="18" t="n">
        <v>3.05925936</v>
      </c>
      <c r="R64" s="20" t="n">
        <v>1.07930259</v>
      </c>
    </row>
    <row r="65" spans="1:18">
      <c r="A65" s="15" t="s">
        <v>407</v>
      </c>
      <c r="B65" s="17" t="n">
        <v>2634</v>
      </c>
      <c r="C65" s="18">
        <f>(2201.0/B65*100)</f>
        <v/>
      </c>
      <c r="D65" s="19" t="n">
        <v>433</v>
      </c>
      <c r="E65" s="18" t="n">
        <v>26.79108682</v>
      </c>
      <c r="F65" s="20" t="n">
        <v>2.48847582</v>
      </c>
      <c r="G65" s="18" t="n">
        <v>60.59154479</v>
      </c>
      <c r="H65" s="20" t="n">
        <v>2.62619809</v>
      </c>
      <c r="I65" s="18" t="s">
        <v>349</v>
      </c>
      <c r="J65" s="20" t="s">
        <v>349</v>
      </c>
      <c r="K65" s="18" t="n">
        <v>4.37422592</v>
      </c>
      <c r="L65" s="20" t="n">
        <v>0.86196809</v>
      </c>
      <c r="M65" s="18" t="n">
        <v>0</v>
      </c>
      <c r="N65" s="20" t="n">
        <v>0</v>
      </c>
      <c r="O65" s="18" t="n">
        <v>0</v>
      </c>
      <c r="P65" s="20" t="n">
        <v>0</v>
      </c>
      <c r="Q65" s="18" t="n">
        <v>8.243142479999999</v>
      </c>
      <c r="R65" s="20" t="n">
        <v>1.41584972</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(2040.0/B69*100)</f>
        <v/>
      </c>
      <c r="D69" s="19" t="n">
        <v>426</v>
      </c>
      <c r="E69" s="18" t="n">
        <v>40.3669001</v>
      </c>
      <c r="F69" s="20" t="n">
        <v>2.46266598</v>
      </c>
      <c r="G69" s="18" t="n">
        <v>59.4365744</v>
      </c>
      <c r="H69" s="20" t="n">
        <v>2.46790363</v>
      </c>
      <c r="I69" s="18" t="s">
        <v>349</v>
      </c>
      <c r="J69" s="20" t="s">
        <v>349</v>
      </c>
      <c r="K69" s="18" t="n">
        <v>0</v>
      </c>
      <c r="L69" s="20" t="n">
        <v>0</v>
      </c>
      <c r="M69" s="18" t="n">
        <v>0</v>
      </c>
      <c r="N69" s="20" t="n">
        <v>0</v>
      </c>
      <c r="O69" s="18" t="n">
        <v>0</v>
      </c>
      <c r="P69" s="20" t="n">
        <v>0</v>
      </c>
      <c r="Q69" s="18" t="n">
        <v>0.1965255</v>
      </c>
      <c r="R69" s="20" t="n">
        <v>0.19522324</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(2048.0/B74*100)</f>
        <v/>
      </c>
      <c r="D74" s="19" t="n">
        <v>405</v>
      </c>
      <c r="E74" s="18" t="n">
        <v>33.35502361</v>
      </c>
      <c r="F74" s="20" t="n">
        <v>2.64227501</v>
      </c>
      <c r="G74" s="18" t="n">
        <v>58.42672876</v>
      </c>
      <c r="H74" s="20" t="n">
        <v>2.79901297</v>
      </c>
      <c r="I74" s="18" t="s">
        <v>349</v>
      </c>
      <c r="J74" s="20" t="s">
        <v>349</v>
      </c>
      <c r="K74" s="18" t="n">
        <v>4.73648531</v>
      </c>
      <c r="L74" s="20" t="n">
        <v>1.14275976</v>
      </c>
      <c r="M74" s="18" t="n">
        <v>0</v>
      </c>
      <c r="N74" s="20" t="n">
        <v>0</v>
      </c>
      <c r="O74" s="18" t="n">
        <v>0</v>
      </c>
      <c r="P74" s="20" t="n">
        <v>0</v>
      </c>
      <c r="Q74" s="18" t="n">
        <v>3.48176232</v>
      </c>
      <c r="R74" s="20" t="n">
        <v>0.87852832</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(2531.0/B78*100)</f>
        <v/>
      </c>
      <c r="D78" s="19" t="n">
        <v>509</v>
      </c>
      <c r="E78" s="18" t="n">
        <v>37.63450871</v>
      </c>
      <c r="F78" s="20" t="n">
        <v>2.5171064</v>
      </c>
      <c r="G78" s="18" t="n">
        <v>61.80145042</v>
      </c>
      <c r="H78" s="20" t="n">
        <v>2.47796648</v>
      </c>
      <c r="I78" s="18" t="s">
        <v>349</v>
      </c>
      <c r="J78" s="20" t="s">
        <v>349</v>
      </c>
      <c r="K78" s="18" t="n">
        <v>0</v>
      </c>
      <c r="L78" s="20" t="n">
        <v>0</v>
      </c>
      <c r="M78" s="18" t="n">
        <v>0</v>
      </c>
      <c r="N78" s="20" t="n">
        <v>0</v>
      </c>
      <c r="O78" s="18" t="n">
        <v>0</v>
      </c>
      <c r="P78" s="20" t="n">
        <v>0</v>
      </c>
      <c r="Q78" s="18" t="n">
        <v>0.56404087</v>
      </c>
      <c r="R78" s="20" t="n">
        <v>0.3318042</v>
      </c>
    </row>
    <row customHeight="1" ht="25" r="79" spans="1:18">
      <c r="A79" s="15" t="s">
        <v>421</v>
      </c>
      <c r="B79" s="17" t="n">
        <v>870</v>
      </c>
      <c r="C79" s="18">
        <f>(735.0/B79*100)</f>
        <v/>
      </c>
      <c r="D79" s="19" t="n">
        <v>135</v>
      </c>
      <c r="E79" s="18" t="n">
        <v>27.26691964</v>
      </c>
      <c r="F79" s="20" t="n">
        <v>4.44670456</v>
      </c>
      <c r="G79" s="18" t="n">
        <v>62.9550685</v>
      </c>
      <c r="H79" s="20" t="n">
        <v>5.06205651</v>
      </c>
      <c r="I79" s="18" t="s">
        <v>349</v>
      </c>
      <c r="J79" s="20" t="s">
        <v>349</v>
      </c>
      <c r="K79" s="18" t="n">
        <v>3.16863512</v>
      </c>
      <c r="L79" s="20" t="n">
        <v>1.52767803</v>
      </c>
      <c r="M79" s="18" t="n">
        <v>0</v>
      </c>
      <c r="N79" s="20" t="n">
        <v>0</v>
      </c>
      <c r="O79" s="18" t="n">
        <v>0</v>
      </c>
      <c r="P79" s="20" t="n">
        <v>0</v>
      </c>
      <c r="Q79" s="18" t="n">
        <v>6.60937673</v>
      </c>
      <c r="R79" s="20" t="n">
        <v>2.72675534</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(2239.0/B44*100)</f>
        <v/>
      </c>
      <c r="D44" s="19" t="n">
        <v>452</v>
      </c>
      <c r="E44" s="18" t="n">
        <v>71.61094992</v>
      </c>
      <c r="F44" s="20" t="n">
        <v>2.09165378</v>
      </c>
      <c r="G44" s="18" t="n">
        <v>14.00333797</v>
      </c>
      <c r="H44" s="20" t="n">
        <v>1.81980573</v>
      </c>
      <c r="I44" s="18" t="s">
        <v>349</v>
      </c>
      <c r="J44" s="20" t="s">
        <v>349</v>
      </c>
      <c r="K44" s="18" t="n">
        <v>2.7800832</v>
      </c>
      <c r="L44" s="20" t="n">
        <v>1.14292289</v>
      </c>
      <c r="M44" s="18" t="n">
        <v>0</v>
      </c>
      <c r="N44" s="20" t="n">
        <v>0</v>
      </c>
      <c r="O44" s="18" t="n">
        <v>0</v>
      </c>
      <c r="P44" s="20" t="n">
        <v>0</v>
      </c>
      <c r="Q44" s="18" t="n">
        <v>11.60562891</v>
      </c>
      <c r="R44" s="20" t="n">
        <v>1.46231453</v>
      </c>
    </row>
    <row r="45" spans="1:18">
      <c r="A45" s="15" t="s">
        <v>387</v>
      </c>
      <c r="B45" s="17" t="n">
        <v>2670</v>
      </c>
      <c r="C45" s="18">
        <f>(2262.0/B45*100)</f>
        <v/>
      </c>
      <c r="D45" s="19" t="n">
        <v>408</v>
      </c>
      <c r="E45" s="18" t="n">
        <v>81.23594502</v>
      </c>
      <c r="F45" s="20" t="n">
        <v>1.88315225</v>
      </c>
      <c r="G45" s="18" t="n">
        <v>3.02242846</v>
      </c>
      <c r="H45" s="20" t="n">
        <v>0.92121891</v>
      </c>
      <c r="I45" s="18" t="s">
        <v>349</v>
      </c>
      <c r="J45" s="20" t="s">
        <v>349</v>
      </c>
      <c r="K45" s="18" t="n">
        <v>5.59001578</v>
      </c>
      <c r="L45" s="20" t="n">
        <v>1.0490626</v>
      </c>
      <c r="M45" s="18" t="n">
        <v>0</v>
      </c>
      <c r="N45" s="20" t="n">
        <v>0</v>
      </c>
      <c r="O45" s="18" t="n">
        <v>0.58876069</v>
      </c>
      <c r="P45" s="20" t="n">
        <v>0.40811303</v>
      </c>
      <c r="Q45" s="18" t="n">
        <v>9.56285005</v>
      </c>
      <c r="R45" s="20" t="n">
        <v>1.89962403</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(2794.0/B49*100)</f>
        <v/>
      </c>
      <c r="D49" s="19" t="n">
        <v>537</v>
      </c>
      <c r="E49" s="18" t="n">
        <v>77.54024775000001</v>
      </c>
      <c r="F49" s="20" t="n">
        <v>2.11670432</v>
      </c>
      <c r="G49" s="18" t="n">
        <v>6.94267387</v>
      </c>
      <c r="H49" s="20" t="n">
        <v>1.47305816</v>
      </c>
      <c r="I49" s="18" t="s">
        <v>349</v>
      </c>
      <c r="J49" s="20" t="s">
        <v>349</v>
      </c>
      <c r="K49" s="18" t="n">
        <v>2.3740013</v>
      </c>
      <c r="L49" s="20" t="n">
        <v>0.78107586</v>
      </c>
      <c r="M49" s="18" t="n">
        <v>0</v>
      </c>
      <c r="N49" s="20" t="n">
        <v>0</v>
      </c>
      <c r="O49" s="18" t="n">
        <v>0</v>
      </c>
      <c r="P49" s="20" t="n">
        <v>0</v>
      </c>
      <c r="Q49" s="18" t="n">
        <v>13.14307708</v>
      </c>
      <c r="R49" s="20" t="n">
        <v>1.59372335</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(2122.0/B55*100)</f>
        <v/>
      </c>
      <c r="D55" s="19" t="n">
        <v>435</v>
      </c>
      <c r="E55" s="18" t="n">
        <v>75.00849232</v>
      </c>
      <c r="F55" s="20" t="n">
        <v>2.17139018</v>
      </c>
      <c r="G55" s="18" t="n">
        <v>6.92538051</v>
      </c>
      <c r="H55" s="20" t="n">
        <v>1.47597045</v>
      </c>
      <c r="I55" s="18" t="s">
        <v>349</v>
      </c>
      <c r="J55" s="20" t="s">
        <v>349</v>
      </c>
      <c r="K55" s="18" t="n">
        <v>1.84795021</v>
      </c>
      <c r="L55" s="20" t="n">
        <v>0.64885498</v>
      </c>
      <c r="M55" s="18" t="n">
        <v>0</v>
      </c>
      <c r="N55" s="20" t="n">
        <v>0</v>
      </c>
      <c r="O55" s="18" t="n">
        <v>0</v>
      </c>
      <c r="P55" s="20" t="n">
        <v>0</v>
      </c>
      <c r="Q55" s="18" t="n">
        <v>16.21817696</v>
      </c>
      <c r="R55" s="20" t="n">
        <v>1.59638547</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(2817.0/B57*100)</f>
        <v/>
      </c>
      <c r="D57" s="19" t="n">
        <v>526</v>
      </c>
      <c r="E57" s="18" t="n">
        <v>82.55034396000001</v>
      </c>
      <c r="F57" s="20" t="n">
        <v>2.10485443</v>
      </c>
      <c r="G57" s="18" t="n">
        <v>10.21316543</v>
      </c>
      <c r="H57" s="20" t="n">
        <v>1.51433969</v>
      </c>
      <c r="I57" s="18" t="s">
        <v>349</v>
      </c>
      <c r="J57" s="20" t="s">
        <v>349</v>
      </c>
      <c r="K57" s="18" t="n">
        <v>0.60598816</v>
      </c>
      <c r="L57" s="20" t="n">
        <v>0.42839866</v>
      </c>
      <c r="M57" s="18" t="n">
        <v>0</v>
      </c>
      <c r="N57" s="20" t="n">
        <v>0</v>
      </c>
      <c r="O57" s="18" t="n">
        <v>0</v>
      </c>
      <c r="P57" s="20" t="n">
        <v>0</v>
      </c>
      <c r="Q57" s="18" t="n">
        <v>6.63050245</v>
      </c>
      <c r="R57" s="20" t="n">
        <v>1.54102997</v>
      </c>
    </row>
    <row r="58" spans="1:18">
      <c r="A58" s="15" t="s">
        <v>400</v>
      </c>
      <c r="B58" s="17" t="n">
        <v>3737</v>
      </c>
      <c r="C58" s="18">
        <f>(3129.0/B58*100)</f>
        <v/>
      </c>
      <c r="D58" s="19" t="n">
        <v>608</v>
      </c>
      <c r="E58" s="18" t="n">
        <v>88.3940644</v>
      </c>
      <c r="F58" s="20" t="n">
        <v>1.70244435</v>
      </c>
      <c r="G58" s="18" t="n">
        <v>7.75812279</v>
      </c>
      <c r="H58" s="20" t="n">
        <v>1.42589838</v>
      </c>
      <c r="I58" s="18" t="s">
        <v>349</v>
      </c>
      <c r="J58" s="20" t="s">
        <v>349</v>
      </c>
      <c r="K58" s="18" t="n">
        <v>1.03011566</v>
      </c>
      <c r="L58" s="20" t="n">
        <v>0.46010737</v>
      </c>
      <c r="M58" s="18" t="n">
        <v>0</v>
      </c>
      <c r="N58" s="20" t="n">
        <v>0</v>
      </c>
      <c r="O58" s="18" t="n">
        <v>0</v>
      </c>
      <c r="P58" s="20" t="n">
        <v>0</v>
      </c>
      <c r="Q58" s="18" t="n">
        <v>2.81769714</v>
      </c>
      <c r="R58" s="20" t="n">
        <v>0.89106926</v>
      </c>
    </row>
    <row r="59" spans="1:18">
      <c r="A59" s="15" t="s">
        <v>401</v>
      </c>
      <c r="B59" s="17" t="n">
        <v>2278</v>
      </c>
      <c r="C59" s="18">
        <f>(1870.0/B59*100)</f>
        <v/>
      </c>
      <c r="D59" s="19" t="n">
        <v>408</v>
      </c>
      <c r="E59" s="18" t="n">
        <v>81.82431028000001</v>
      </c>
      <c r="F59" s="20" t="n">
        <v>2.05951951</v>
      </c>
      <c r="G59" s="18" t="n">
        <v>6.59284352</v>
      </c>
      <c r="H59" s="20" t="n">
        <v>1.31958006</v>
      </c>
      <c r="I59" s="18" t="s">
        <v>349</v>
      </c>
      <c r="J59" s="20" t="s">
        <v>349</v>
      </c>
      <c r="K59" s="18" t="n">
        <v>1.3658576</v>
      </c>
      <c r="L59" s="20" t="n">
        <v>0.49388583</v>
      </c>
      <c r="M59" s="18" t="n">
        <v>0</v>
      </c>
      <c r="N59" s="20" t="n">
        <v>0</v>
      </c>
      <c r="O59" s="18" t="n">
        <v>0</v>
      </c>
      <c r="P59" s="20" t="n">
        <v>0</v>
      </c>
      <c r="Q59" s="18" t="n">
        <v>10.2169886</v>
      </c>
      <c r="R59" s="20" t="n">
        <v>1.82159895</v>
      </c>
    </row>
    <row r="60" spans="1:18">
      <c r="A60" s="15" t="s">
        <v>402</v>
      </c>
      <c r="B60" s="17" t="n">
        <v>2451</v>
      </c>
      <c r="C60" s="18">
        <f>(2052.0/B60*100)</f>
        <v/>
      </c>
      <c r="D60" s="19" t="n">
        <v>399</v>
      </c>
      <c r="E60" s="18" t="n">
        <v>76.78109332</v>
      </c>
      <c r="F60" s="20" t="n">
        <v>2.4346373</v>
      </c>
      <c r="G60" s="18" t="n">
        <v>6.21522125</v>
      </c>
      <c r="H60" s="20" t="n">
        <v>1.31413301</v>
      </c>
      <c r="I60" s="18" t="s">
        <v>349</v>
      </c>
      <c r="J60" s="20" t="s">
        <v>349</v>
      </c>
      <c r="K60" s="18" t="n">
        <v>3.84376349</v>
      </c>
      <c r="L60" s="20" t="n">
        <v>1.02386589</v>
      </c>
      <c r="M60" s="18" t="n">
        <v>0</v>
      </c>
      <c r="N60" s="20" t="n">
        <v>0</v>
      </c>
      <c r="O60" s="18" t="n">
        <v>0</v>
      </c>
      <c r="P60" s="20" t="n">
        <v>0</v>
      </c>
      <c r="Q60" s="18" t="n">
        <v>13.15992195</v>
      </c>
      <c r="R60" s="20" t="n">
        <v>2.13121495</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(2106.0/B63*100)</f>
        <v/>
      </c>
      <c r="D63" s="19" t="n">
        <v>405</v>
      </c>
      <c r="E63" s="18" t="n">
        <v>61.89113257</v>
      </c>
      <c r="F63" s="20" t="n">
        <v>2.24813453</v>
      </c>
      <c r="G63" s="18" t="n">
        <v>6.29347713</v>
      </c>
      <c r="H63" s="20" t="n">
        <v>1.44567057</v>
      </c>
      <c r="I63" s="18" t="s">
        <v>349</v>
      </c>
      <c r="J63" s="20" t="s">
        <v>349</v>
      </c>
      <c r="K63" s="18" t="n">
        <v>6.45364553</v>
      </c>
      <c r="L63" s="20" t="n">
        <v>1.19456331</v>
      </c>
      <c r="M63" s="18" t="n">
        <v>0</v>
      </c>
      <c r="N63" s="20" t="n">
        <v>0</v>
      </c>
      <c r="O63" s="18" t="n">
        <v>0</v>
      </c>
      <c r="P63" s="20" t="n">
        <v>0</v>
      </c>
      <c r="Q63" s="18" t="n">
        <v>25.36174477</v>
      </c>
      <c r="R63" s="20" t="n">
        <v>2.03801904</v>
      </c>
    </row>
    <row r="64" spans="1:18">
      <c r="A64" s="15" t="s">
        <v>406</v>
      </c>
      <c r="B64" s="17" t="n">
        <v>1790</v>
      </c>
      <c r="C64" s="18">
        <f>(1495.0/B64*100)</f>
        <v/>
      </c>
      <c r="D64" s="19" t="n">
        <v>295</v>
      </c>
      <c r="E64" s="18" t="n">
        <v>82.85170273</v>
      </c>
      <c r="F64" s="20" t="n">
        <v>1.87727459</v>
      </c>
      <c r="G64" s="18" t="n">
        <v>12.01406491</v>
      </c>
      <c r="H64" s="20" t="n">
        <v>1.81300016</v>
      </c>
      <c r="I64" s="18" t="s">
        <v>349</v>
      </c>
      <c r="J64" s="20" t="s">
        <v>349</v>
      </c>
      <c r="K64" s="18" t="n">
        <v>1.17097337</v>
      </c>
      <c r="L64" s="20" t="n">
        <v>0.6861805399999999</v>
      </c>
      <c r="M64" s="18" t="n">
        <v>0</v>
      </c>
      <c r="N64" s="20" t="n">
        <v>0</v>
      </c>
      <c r="O64" s="18" t="n">
        <v>0</v>
      </c>
      <c r="P64" s="20" t="n">
        <v>0</v>
      </c>
      <c r="Q64" s="18" t="n">
        <v>3.96325899</v>
      </c>
      <c r="R64" s="20" t="n">
        <v>1.15618766</v>
      </c>
    </row>
    <row r="65" spans="1:18">
      <c r="A65" s="15" t="s">
        <v>407</v>
      </c>
      <c r="B65" s="17" t="n">
        <v>2634</v>
      </c>
      <c r="C65" s="18">
        <f>(2201.0/B65*100)</f>
        <v/>
      </c>
      <c r="D65" s="19" t="n">
        <v>433</v>
      </c>
      <c r="E65" s="18" t="n">
        <v>64.56766116999999</v>
      </c>
      <c r="F65" s="20" t="n">
        <v>2.25975015</v>
      </c>
      <c r="G65" s="18" t="n">
        <v>16.65260836</v>
      </c>
      <c r="H65" s="20" t="n">
        <v>2.24025847</v>
      </c>
      <c r="I65" s="18" t="s">
        <v>349</v>
      </c>
      <c r="J65" s="20" t="s">
        <v>349</v>
      </c>
      <c r="K65" s="18" t="n">
        <v>4.69531362</v>
      </c>
      <c r="L65" s="20" t="n">
        <v>0.89848142</v>
      </c>
      <c r="M65" s="18" t="n">
        <v>0</v>
      </c>
      <c r="N65" s="20" t="n">
        <v>0</v>
      </c>
      <c r="O65" s="18" t="n">
        <v>0</v>
      </c>
      <c r="P65" s="20" t="n">
        <v>0</v>
      </c>
      <c r="Q65" s="18" t="n">
        <v>14.08441685</v>
      </c>
      <c r="R65" s="20" t="n">
        <v>1.84554462</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(2040.0/B69*100)</f>
        <v/>
      </c>
      <c r="D69" s="19" t="n">
        <v>426</v>
      </c>
      <c r="E69" s="18" t="n">
        <v>77.51080859</v>
      </c>
      <c r="F69" s="20" t="n">
        <v>2.20402719</v>
      </c>
      <c r="G69" s="18" t="n">
        <v>22.29266591</v>
      </c>
      <c r="H69" s="20" t="n">
        <v>2.20731277</v>
      </c>
      <c r="I69" s="18" t="s">
        <v>349</v>
      </c>
      <c r="J69" s="20" t="s">
        <v>349</v>
      </c>
      <c r="K69" s="18" t="n">
        <v>0</v>
      </c>
      <c r="L69" s="20" t="n">
        <v>0</v>
      </c>
      <c r="M69" s="18" t="n">
        <v>0</v>
      </c>
      <c r="N69" s="20" t="n">
        <v>0</v>
      </c>
      <c r="O69" s="18" t="n">
        <v>0</v>
      </c>
      <c r="P69" s="20" t="n">
        <v>0</v>
      </c>
      <c r="Q69" s="18" t="n">
        <v>0.1965255</v>
      </c>
      <c r="R69" s="20" t="n">
        <v>0.19522324</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(2048.0/B74*100)</f>
        <v/>
      </c>
      <c r="D74" s="19" t="n">
        <v>405</v>
      </c>
      <c r="E74" s="18" t="n">
        <v>80.84261591000001</v>
      </c>
      <c r="F74" s="20" t="n">
        <v>2.04378778</v>
      </c>
      <c r="G74" s="18" t="n">
        <v>7.08041282</v>
      </c>
      <c r="H74" s="20" t="n">
        <v>1.54667415</v>
      </c>
      <c r="I74" s="18" t="s">
        <v>349</v>
      </c>
      <c r="J74" s="20" t="s">
        <v>349</v>
      </c>
      <c r="K74" s="18" t="n">
        <v>5.24038511</v>
      </c>
      <c r="L74" s="20" t="n">
        <v>1.21495952</v>
      </c>
      <c r="M74" s="18" t="n">
        <v>0</v>
      </c>
      <c r="N74" s="20" t="n">
        <v>0</v>
      </c>
      <c r="O74" s="18" t="n">
        <v>0</v>
      </c>
      <c r="P74" s="20" t="n">
        <v>0</v>
      </c>
      <c r="Q74" s="18" t="n">
        <v>6.83658616</v>
      </c>
      <c r="R74" s="20" t="n">
        <v>1.34750628</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(2531.0/B78*100)</f>
        <v/>
      </c>
      <c r="D78" s="19" t="n">
        <v>509</v>
      </c>
      <c r="E78" s="18" t="n">
        <v>80.76184363</v>
      </c>
      <c r="F78" s="20" t="n">
        <v>2.45465694</v>
      </c>
      <c r="G78" s="18" t="n">
        <v>18.31600381</v>
      </c>
      <c r="H78" s="20" t="n">
        <v>2.39804261</v>
      </c>
      <c r="I78" s="18" t="s">
        <v>349</v>
      </c>
      <c r="J78" s="20" t="s">
        <v>349</v>
      </c>
      <c r="K78" s="18" t="n">
        <v>0</v>
      </c>
      <c r="L78" s="20" t="n">
        <v>0</v>
      </c>
      <c r="M78" s="18" t="n">
        <v>0</v>
      </c>
      <c r="N78" s="20" t="n">
        <v>0</v>
      </c>
      <c r="O78" s="18" t="n">
        <v>0</v>
      </c>
      <c r="P78" s="20" t="n">
        <v>0</v>
      </c>
      <c r="Q78" s="18" t="n">
        <v>0.92215255</v>
      </c>
      <c r="R78" s="20" t="n">
        <v>0.40864621</v>
      </c>
    </row>
    <row customHeight="1" ht="25" r="79" spans="1:18">
      <c r="A79" s="15" t="s">
        <v>421</v>
      </c>
      <c r="B79" s="17" t="n">
        <v>870</v>
      </c>
      <c r="C79" s="18">
        <f>(735.0/B79*100)</f>
        <v/>
      </c>
      <c r="D79" s="19" t="n">
        <v>135</v>
      </c>
      <c r="E79" s="18" t="n">
        <v>77.6037171</v>
      </c>
      <c r="F79" s="20" t="n">
        <v>3.56102429</v>
      </c>
      <c r="G79" s="18" t="n">
        <v>8.096573190000001</v>
      </c>
      <c r="H79" s="20" t="n">
        <v>2.51731552</v>
      </c>
      <c r="I79" s="18" t="s">
        <v>349</v>
      </c>
      <c r="J79" s="20" t="s">
        <v>349</v>
      </c>
      <c r="K79" s="18" t="n">
        <v>3.16863512</v>
      </c>
      <c r="L79" s="20" t="n">
        <v>1.52767803</v>
      </c>
      <c r="M79" s="18" t="n">
        <v>0</v>
      </c>
      <c r="N79" s="20" t="n">
        <v>0</v>
      </c>
      <c r="O79" s="18" t="n">
        <v>0</v>
      </c>
      <c r="P79" s="20" t="n">
        <v>0</v>
      </c>
      <c r="Q79" s="18" t="n">
        <v>11.13107459</v>
      </c>
      <c r="R79" s="20" t="n">
        <v>2.95732599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(2239.0/B44*100)</f>
        <v/>
      </c>
      <c r="D44" s="19" t="n">
        <v>452</v>
      </c>
      <c r="E44" s="18" t="n">
        <v>47.79609667</v>
      </c>
      <c r="F44" s="20" t="n">
        <v>2.26430322</v>
      </c>
      <c r="G44" s="18" t="n">
        <v>5.65358421</v>
      </c>
      <c r="H44" s="20" t="n">
        <v>0.99214161</v>
      </c>
      <c r="I44" s="18" t="s">
        <v>349</v>
      </c>
      <c r="J44" s="20" t="s">
        <v>349</v>
      </c>
      <c r="K44" s="18" t="n">
        <v>3.30930555</v>
      </c>
      <c r="L44" s="20" t="n">
        <v>1.19441931</v>
      </c>
      <c r="M44" s="18" t="n">
        <v>0</v>
      </c>
      <c r="N44" s="20" t="n">
        <v>0</v>
      </c>
      <c r="O44" s="18" t="n">
        <v>0</v>
      </c>
      <c r="P44" s="20" t="n">
        <v>0</v>
      </c>
      <c r="Q44" s="18" t="n">
        <v>43.24101358</v>
      </c>
      <c r="R44" s="20" t="n">
        <v>2.31239188</v>
      </c>
    </row>
    <row r="45" spans="1:18">
      <c r="A45" s="15" t="s">
        <v>387</v>
      </c>
      <c r="B45" s="17" t="n">
        <v>2670</v>
      </c>
      <c r="C45" s="18">
        <f>(2262.0/B45*100)</f>
        <v/>
      </c>
      <c r="D45" s="19" t="n">
        <v>408</v>
      </c>
      <c r="E45" s="18" t="n">
        <v>43.03567552</v>
      </c>
      <c r="F45" s="20" t="n">
        <v>2.54595809</v>
      </c>
      <c r="G45" s="18" t="n">
        <v>0.56360974</v>
      </c>
      <c r="H45" s="20" t="n">
        <v>0.39351293</v>
      </c>
      <c r="I45" s="18" t="s">
        <v>349</v>
      </c>
      <c r="J45" s="20" t="s">
        <v>349</v>
      </c>
      <c r="K45" s="18" t="n">
        <v>7.39998839</v>
      </c>
      <c r="L45" s="20" t="n">
        <v>1.21702391</v>
      </c>
      <c r="M45" s="18" t="n">
        <v>0</v>
      </c>
      <c r="N45" s="20" t="n">
        <v>0</v>
      </c>
      <c r="O45" s="18" t="n">
        <v>0.61967546</v>
      </c>
      <c r="P45" s="20" t="n">
        <v>0.42520273</v>
      </c>
      <c r="Q45" s="18" t="n">
        <v>48.3810509</v>
      </c>
      <c r="R45" s="20" t="n">
        <v>2.70802774</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(2794.0/B49*100)</f>
        <v/>
      </c>
      <c r="D49" s="19" t="n">
        <v>537</v>
      </c>
      <c r="E49" s="18" t="n">
        <v>42.31989608</v>
      </c>
      <c r="F49" s="20" t="n">
        <v>2.49247753</v>
      </c>
      <c r="G49" s="18" t="n">
        <v>3.68768154</v>
      </c>
      <c r="H49" s="20" t="n">
        <v>1.34451944</v>
      </c>
      <c r="I49" s="18" t="s">
        <v>349</v>
      </c>
      <c r="J49" s="20" t="s">
        <v>349</v>
      </c>
      <c r="K49" s="18" t="n">
        <v>3.16054495</v>
      </c>
      <c r="L49" s="20" t="n">
        <v>1.02604726</v>
      </c>
      <c r="M49" s="18" t="n">
        <v>0</v>
      </c>
      <c r="N49" s="20" t="n">
        <v>0</v>
      </c>
      <c r="O49" s="18" t="n">
        <v>0</v>
      </c>
      <c r="P49" s="20" t="n">
        <v>0</v>
      </c>
      <c r="Q49" s="18" t="n">
        <v>50.83187743</v>
      </c>
      <c r="R49" s="20" t="n">
        <v>2.49808576</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(2122.0/B55*100)</f>
        <v/>
      </c>
      <c r="D55" s="19" t="n">
        <v>435</v>
      </c>
      <c r="E55" s="18" t="n">
        <v>31.92175868</v>
      </c>
      <c r="F55" s="20" t="n">
        <v>2.10104287</v>
      </c>
      <c r="G55" s="18" t="n">
        <v>2.68902068</v>
      </c>
      <c r="H55" s="20" t="n">
        <v>0.9205297</v>
      </c>
      <c r="I55" s="18" t="s">
        <v>349</v>
      </c>
      <c r="J55" s="20" t="s">
        <v>349</v>
      </c>
      <c r="K55" s="18" t="n">
        <v>2.88897623</v>
      </c>
      <c r="L55" s="20" t="n">
        <v>0.82493039</v>
      </c>
      <c r="M55" s="18" t="n">
        <v>0</v>
      </c>
      <c r="N55" s="20" t="n">
        <v>0</v>
      </c>
      <c r="O55" s="18" t="n">
        <v>0</v>
      </c>
      <c r="P55" s="20" t="n">
        <v>0</v>
      </c>
      <c r="Q55" s="18" t="n">
        <v>62.50024442</v>
      </c>
      <c r="R55" s="20" t="n">
        <v>2.03582948</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(2817.0/B57*100)</f>
        <v/>
      </c>
      <c r="D57" s="19" t="n">
        <v>526</v>
      </c>
      <c r="E57" s="18" t="n">
        <v>74.4172744</v>
      </c>
      <c r="F57" s="20" t="n">
        <v>2.64805609</v>
      </c>
      <c r="G57" s="18" t="n">
        <v>3.4645076</v>
      </c>
      <c r="H57" s="20" t="n">
        <v>0.9012667599999999</v>
      </c>
      <c r="I57" s="18" t="s">
        <v>349</v>
      </c>
      <c r="J57" s="20" t="s">
        <v>349</v>
      </c>
      <c r="K57" s="18" t="n">
        <v>0.60598816</v>
      </c>
      <c r="L57" s="20" t="n">
        <v>0.42839866</v>
      </c>
      <c r="M57" s="18" t="n">
        <v>0</v>
      </c>
      <c r="N57" s="20" t="n">
        <v>0</v>
      </c>
      <c r="O57" s="18" t="n">
        <v>0</v>
      </c>
      <c r="P57" s="20" t="n">
        <v>0</v>
      </c>
      <c r="Q57" s="18" t="n">
        <v>21.51222984</v>
      </c>
      <c r="R57" s="20" t="n">
        <v>2.50208835</v>
      </c>
    </row>
    <row r="58" spans="1:18">
      <c r="A58" s="15" t="s">
        <v>400</v>
      </c>
      <c r="B58" s="17" t="n">
        <v>3737</v>
      </c>
      <c r="C58" s="18">
        <f>(3129.0/B58*100)</f>
        <v/>
      </c>
      <c r="D58" s="19" t="n">
        <v>608</v>
      </c>
      <c r="E58" s="18" t="n">
        <v>71.55401878000001</v>
      </c>
      <c r="F58" s="20" t="n">
        <v>2.63569277</v>
      </c>
      <c r="G58" s="18" t="n">
        <v>1.50048315</v>
      </c>
      <c r="H58" s="20" t="n">
        <v>0.9774393</v>
      </c>
      <c r="I58" s="18" t="s">
        <v>349</v>
      </c>
      <c r="J58" s="20" t="s">
        <v>349</v>
      </c>
      <c r="K58" s="18" t="n">
        <v>1.54058999</v>
      </c>
      <c r="L58" s="20" t="n">
        <v>0.5471872</v>
      </c>
      <c r="M58" s="18" t="n">
        <v>0</v>
      </c>
      <c r="N58" s="20" t="n">
        <v>0</v>
      </c>
      <c r="O58" s="18" t="n">
        <v>0</v>
      </c>
      <c r="P58" s="20" t="n">
        <v>0</v>
      </c>
      <c r="Q58" s="18" t="n">
        <v>25.40490808</v>
      </c>
      <c r="R58" s="20" t="n">
        <v>2.19374662</v>
      </c>
    </row>
    <row r="59" spans="1:18">
      <c r="A59" s="15" t="s">
        <v>401</v>
      </c>
      <c r="B59" s="17" t="n">
        <v>2278</v>
      </c>
      <c r="C59" s="18">
        <f>(1870.0/B59*100)</f>
        <v/>
      </c>
      <c r="D59" s="19" t="n">
        <v>408</v>
      </c>
      <c r="E59" s="18" t="n">
        <v>62.22968313</v>
      </c>
      <c r="F59" s="20" t="n">
        <v>3.01127504</v>
      </c>
      <c r="G59" s="18" t="n">
        <v>0.08555972000000001</v>
      </c>
      <c r="H59" s="20" t="n">
        <v>0.08544874</v>
      </c>
      <c r="I59" s="18" t="s">
        <v>349</v>
      </c>
      <c r="J59" s="20" t="s">
        <v>349</v>
      </c>
      <c r="K59" s="18" t="n">
        <v>1.64037193</v>
      </c>
      <c r="L59" s="20" t="n">
        <v>0.5289786</v>
      </c>
      <c r="M59" s="18" t="n">
        <v>0</v>
      </c>
      <c r="N59" s="20" t="n">
        <v>0</v>
      </c>
      <c r="O59" s="18" t="n">
        <v>0</v>
      </c>
      <c r="P59" s="20" t="n">
        <v>0</v>
      </c>
      <c r="Q59" s="18" t="n">
        <v>36.04438522</v>
      </c>
      <c r="R59" s="20" t="n">
        <v>3.08753576</v>
      </c>
    </row>
    <row r="60" spans="1:18">
      <c r="A60" s="15" t="s">
        <v>402</v>
      </c>
      <c r="B60" s="17" t="n">
        <v>2451</v>
      </c>
      <c r="C60" s="18">
        <f>(2052.0/B60*100)</f>
        <v/>
      </c>
      <c r="D60" s="19" t="n">
        <v>399</v>
      </c>
      <c r="E60" s="18" t="n">
        <v>46.5925135</v>
      </c>
      <c r="F60" s="20" t="n">
        <v>2.88165409</v>
      </c>
      <c r="G60" s="18" t="n">
        <v>2.32116791</v>
      </c>
      <c r="H60" s="20" t="n">
        <v>0.80099272</v>
      </c>
      <c r="I60" s="18" t="s">
        <v>349</v>
      </c>
      <c r="J60" s="20" t="s">
        <v>349</v>
      </c>
      <c r="K60" s="18" t="n">
        <v>5.21477244</v>
      </c>
      <c r="L60" s="20" t="n">
        <v>1.25032706</v>
      </c>
      <c r="M60" s="18" t="n">
        <v>0</v>
      </c>
      <c r="N60" s="20" t="n">
        <v>0</v>
      </c>
      <c r="O60" s="18" t="n">
        <v>0</v>
      </c>
      <c r="P60" s="20" t="n">
        <v>0</v>
      </c>
      <c r="Q60" s="18" t="n">
        <v>45.87154615</v>
      </c>
      <c r="R60" s="20" t="n">
        <v>3.07531264</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(2106.0/B63*100)</f>
        <v/>
      </c>
      <c r="D63" s="19" t="n">
        <v>405</v>
      </c>
      <c r="E63" s="18" t="n">
        <v>34.278322</v>
      </c>
      <c r="F63" s="20" t="n">
        <v>2.26924649</v>
      </c>
      <c r="G63" s="18" t="n">
        <v>2.28733316</v>
      </c>
      <c r="H63" s="20" t="n">
        <v>0.91548623</v>
      </c>
      <c r="I63" s="18" t="s">
        <v>349</v>
      </c>
      <c r="J63" s="20" t="s">
        <v>349</v>
      </c>
      <c r="K63" s="18" t="n">
        <v>7.20745167</v>
      </c>
      <c r="L63" s="20" t="n">
        <v>1.37885588</v>
      </c>
      <c r="M63" s="18" t="n">
        <v>0</v>
      </c>
      <c r="N63" s="20" t="n">
        <v>0</v>
      </c>
      <c r="O63" s="18" t="n">
        <v>0</v>
      </c>
      <c r="P63" s="20" t="n">
        <v>0</v>
      </c>
      <c r="Q63" s="18" t="n">
        <v>56.22689317</v>
      </c>
      <c r="R63" s="20" t="n">
        <v>2.57353234</v>
      </c>
    </row>
    <row r="64" spans="1:18">
      <c r="A64" s="15" t="s">
        <v>406</v>
      </c>
      <c r="B64" s="17" t="n">
        <v>1790</v>
      </c>
      <c r="C64" s="18">
        <f>(1495.0/B64*100)</f>
        <v/>
      </c>
      <c r="D64" s="19" t="n">
        <v>295</v>
      </c>
      <c r="E64" s="18" t="n">
        <v>66.48557056999999</v>
      </c>
      <c r="F64" s="20" t="n">
        <v>2.96844172</v>
      </c>
      <c r="G64" s="18" t="n">
        <v>6.03368626</v>
      </c>
      <c r="H64" s="20" t="n">
        <v>1.36980019</v>
      </c>
      <c r="I64" s="18" t="s">
        <v>349</v>
      </c>
      <c r="J64" s="20" t="s">
        <v>349</v>
      </c>
      <c r="K64" s="18" t="n">
        <v>1.17097337</v>
      </c>
      <c r="L64" s="20" t="n">
        <v>0.6861805399999999</v>
      </c>
      <c r="M64" s="18" t="n">
        <v>0</v>
      </c>
      <c r="N64" s="20" t="n">
        <v>0</v>
      </c>
      <c r="O64" s="18" t="n">
        <v>0</v>
      </c>
      <c r="P64" s="20" t="n">
        <v>0</v>
      </c>
      <c r="Q64" s="18" t="n">
        <v>26.30976979</v>
      </c>
      <c r="R64" s="20" t="n">
        <v>2.70173359</v>
      </c>
    </row>
    <row r="65" spans="1:18">
      <c r="A65" s="15" t="s">
        <v>407</v>
      </c>
      <c r="B65" s="17" t="n">
        <v>2634</v>
      </c>
      <c r="C65" s="18">
        <f>(2201.0/B65*100)</f>
        <v/>
      </c>
      <c r="D65" s="19" t="n">
        <v>433</v>
      </c>
      <c r="E65" s="18" t="n">
        <v>37.03664728</v>
      </c>
      <c r="F65" s="20" t="n">
        <v>2.41632192</v>
      </c>
      <c r="G65" s="18" t="n">
        <v>3.72819456</v>
      </c>
      <c r="H65" s="20" t="n">
        <v>1.09218742</v>
      </c>
      <c r="I65" s="18" t="s">
        <v>349</v>
      </c>
      <c r="J65" s="20" t="s">
        <v>349</v>
      </c>
      <c r="K65" s="18" t="n">
        <v>6.08076155</v>
      </c>
      <c r="L65" s="20" t="n">
        <v>1.02655681</v>
      </c>
      <c r="M65" s="18" t="n">
        <v>0</v>
      </c>
      <c r="N65" s="20" t="n">
        <v>0</v>
      </c>
      <c r="O65" s="18" t="n">
        <v>0</v>
      </c>
      <c r="P65" s="20" t="n">
        <v>0</v>
      </c>
      <c r="Q65" s="18" t="n">
        <v>53.15439662</v>
      </c>
      <c r="R65" s="20" t="n">
        <v>2.5955394</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(2040.0/B69*100)</f>
        <v/>
      </c>
      <c r="D69" s="19" t="n">
        <v>426</v>
      </c>
      <c r="E69" s="18" t="n">
        <v>77.92173151999999</v>
      </c>
      <c r="F69" s="20" t="n">
        <v>2.191499</v>
      </c>
      <c r="G69" s="18" t="n">
        <v>21.20920633</v>
      </c>
      <c r="H69" s="20" t="n">
        <v>2.19578647</v>
      </c>
      <c r="I69" s="18" t="s">
        <v>349</v>
      </c>
      <c r="J69" s="20" t="s">
        <v>349</v>
      </c>
      <c r="K69" s="18" t="n">
        <v>0</v>
      </c>
      <c r="L69" s="20" t="n">
        <v>0</v>
      </c>
      <c r="M69" s="18" t="n">
        <v>0</v>
      </c>
      <c r="N69" s="20" t="n">
        <v>0</v>
      </c>
      <c r="O69" s="18" t="n">
        <v>0</v>
      </c>
      <c r="P69" s="20" t="n">
        <v>0</v>
      </c>
      <c r="Q69" s="18" t="n">
        <v>0.86906214</v>
      </c>
      <c r="R69" s="20" t="n">
        <v>0.53201818</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(2048.0/B74*100)</f>
        <v/>
      </c>
      <c r="D74" s="19" t="n">
        <v>405</v>
      </c>
      <c r="E74" s="18" t="n">
        <v>52.39407086</v>
      </c>
      <c r="F74" s="20" t="n">
        <v>2.66827432</v>
      </c>
      <c r="G74" s="18" t="n">
        <v>2.96833803</v>
      </c>
      <c r="H74" s="20" t="n">
        <v>0.97293578</v>
      </c>
      <c r="I74" s="18" t="s">
        <v>349</v>
      </c>
      <c r="J74" s="20" t="s">
        <v>349</v>
      </c>
      <c r="K74" s="18" t="n">
        <v>6.55279075</v>
      </c>
      <c r="L74" s="20" t="n">
        <v>1.31894809</v>
      </c>
      <c r="M74" s="18" t="n">
        <v>0</v>
      </c>
      <c r="N74" s="20" t="n">
        <v>0</v>
      </c>
      <c r="O74" s="18" t="n">
        <v>0</v>
      </c>
      <c r="P74" s="20" t="n">
        <v>0</v>
      </c>
      <c r="Q74" s="18" t="n">
        <v>38.08480037</v>
      </c>
      <c r="R74" s="20" t="n">
        <v>2.80606273</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(2531.0/B78*100)</f>
        <v/>
      </c>
      <c r="D78" s="19" t="n">
        <v>509</v>
      </c>
      <c r="E78" s="18" t="n">
        <v>90.47975287</v>
      </c>
      <c r="F78" s="20" t="n">
        <v>1.50312323</v>
      </c>
      <c r="G78" s="18" t="n">
        <v>7.70993878</v>
      </c>
      <c r="H78" s="20" t="n">
        <v>1.4177723</v>
      </c>
      <c r="I78" s="18" t="s">
        <v>349</v>
      </c>
      <c r="J78" s="20" t="s">
        <v>349</v>
      </c>
      <c r="K78" s="18" t="n">
        <v>0</v>
      </c>
      <c r="L78" s="20" t="n">
        <v>0</v>
      </c>
      <c r="M78" s="18" t="n">
        <v>0</v>
      </c>
      <c r="N78" s="20" t="n">
        <v>0</v>
      </c>
      <c r="O78" s="18" t="n">
        <v>0</v>
      </c>
      <c r="P78" s="20" t="n">
        <v>0</v>
      </c>
      <c r="Q78" s="18" t="n">
        <v>1.81030834</v>
      </c>
      <c r="R78" s="20" t="n">
        <v>0.5809091199999999</v>
      </c>
    </row>
    <row customHeight="1" ht="25" r="79" spans="1:18">
      <c r="A79" s="15" t="s">
        <v>421</v>
      </c>
      <c r="B79" s="17" t="n">
        <v>870</v>
      </c>
      <c r="C79" s="18">
        <f>(735.0/B79*100)</f>
        <v/>
      </c>
      <c r="D79" s="19" t="n">
        <v>135</v>
      </c>
      <c r="E79" s="18" t="n">
        <v>45.89400608</v>
      </c>
      <c r="F79" s="20" t="n">
        <v>4.6113644</v>
      </c>
      <c r="G79" s="18" t="n">
        <v>4.0746554</v>
      </c>
      <c r="H79" s="20" t="n">
        <v>1.93486372</v>
      </c>
      <c r="I79" s="18" t="s">
        <v>349</v>
      </c>
      <c r="J79" s="20" t="s">
        <v>349</v>
      </c>
      <c r="K79" s="18" t="n">
        <v>3.86302319</v>
      </c>
      <c r="L79" s="20" t="n">
        <v>1.61416898</v>
      </c>
      <c r="M79" s="18" t="n">
        <v>0</v>
      </c>
      <c r="N79" s="20" t="n">
        <v>0</v>
      </c>
      <c r="O79" s="18" t="n">
        <v>0</v>
      </c>
      <c r="P79" s="20" t="n">
        <v>0</v>
      </c>
      <c r="Q79" s="18" t="n">
        <v>46.16831533</v>
      </c>
      <c r="R79" s="20" t="n">
        <v>4.01333716</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(2239.0/B44*100)</f>
        <v/>
      </c>
      <c r="D44" s="19" t="n">
        <v>452</v>
      </c>
      <c r="E44" s="18" t="n">
        <v>70.60805187</v>
      </c>
      <c r="F44" s="20" t="n">
        <v>2.64292274</v>
      </c>
      <c r="G44" s="18" t="n">
        <v>16.58217178</v>
      </c>
      <c r="H44" s="20" t="n">
        <v>1.79272603</v>
      </c>
      <c r="I44" s="18" t="s">
        <v>349</v>
      </c>
      <c r="J44" s="20" t="s">
        <v>349</v>
      </c>
      <c r="K44" s="18" t="n">
        <v>3.30930555</v>
      </c>
      <c r="L44" s="20" t="n">
        <v>1.19441931</v>
      </c>
      <c r="M44" s="18" t="n">
        <v>0</v>
      </c>
      <c r="N44" s="20" t="n">
        <v>0</v>
      </c>
      <c r="O44" s="18" t="n">
        <v>0.20786752</v>
      </c>
      <c r="P44" s="20" t="n">
        <v>0.2122366</v>
      </c>
      <c r="Q44" s="18" t="n">
        <v>9.292603290000001</v>
      </c>
      <c r="R44" s="20" t="n">
        <v>1.68753582</v>
      </c>
    </row>
    <row r="45" spans="1:18">
      <c r="A45" s="15" t="s">
        <v>387</v>
      </c>
      <c r="B45" s="17" t="n">
        <v>2670</v>
      </c>
      <c r="C45" s="18">
        <f>(2262.0/B45*100)</f>
        <v/>
      </c>
      <c r="D45" s="19" t="n">
        <v>408</v>
      </c>
      <c r="E45" s="18" t="n">
        <v>68.90012905</v>
      </c>
      <c r="F45" s="20" t="n">
        <v>2.40978072</v>
      </c>
      <c r="G45" s="18" t="n">
        <v>17.06434348</v>
      </c>
      <c r="H45" s="20" t="n">
        <v>2.36208766</v>
      </c>
      <c r="I45" s="18" t="s">
        <v>349</v>
      </c>
      <c r="J45" s="20" t="s">
        <v>349</v>
      </c>
      <c r="K45" s="18" t="n">
        <v>8.454182230000001</v>
      </c>
      <c r="L45" s="20" t="n">
        <v>1.27375834</v>
      </c>
      <c r="M45" s="18" t="n">
        <v>0.3233929</v>
      </c>
      <c r="N45" s="20" t="n">
        <v>0.33810654</v>
      </c>
      <c r="O45" s="18" t="n">
        <v>0.70770195</v>
      </c>
      <c r="P45" s="20" t="n">
        <v>0.47002099</v>
      </c>
      <c r="Q45" s="18" t="n">
        <v>4.55025039</v>
      </c>
      <c r="R45" s="20" t="n">
        <v>0.88787669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(2794.0/B49*100)</f>
        <v/>
      </c>
      <c r="D49" s="19" t="n">
        <v>537</v>
      </c>
      <c r="E49" s="18" t="n">
        <v>71.57202244</v>
      </c>
      <c r="F49" s="20" t="n">
        <v>2.29839975</v>
      </c>
      <c r="G49" s="18" t="n">
        <v>19.33218417</v>
      </c>
      <c r="H49" s="20" t="n">
        <v>1.99161191</v>
      </c>
      <c r="I49" s="18" t="s">
        <v>349</v>
      </c>
      <c r="J49" s="20" t="s">
        <v>349</v>
      </c>
      <c r="K49" s="18" t="n">
        <v>3.16054495</v>
      </c>
      <c r="L49" s="20" t="n">
        <v>1.02604726</v>
      </c>
      <c r="M49" s="18" t="n">
        <v>0</v>
      </c>
      <c r="N49" s="20" t="n">
        <v>0</v>
      </c>
      <c r="O49" s="18" t="n">
        <v>0</v>
      </c>
      <c r="P49" s="20" t="n">
        <v>0</v>
      </c>
      <c r="Q49" s="18" t="n">
        <v>5.93524845</v>
      </c>
      <c r="R49" s="20" t="n">
        <v>1.35561593</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(2122.0/B55*100)</f>
        <v/>
      </c>
      <c r="D55" s="19" t="n">
        <v>435</v>
      </c>
      <c r="E55" s="18" t="n">
        <v>74.87886904</v>
      </c>
      <c r="F55" s="20" t="n">
        <v>1.93505104</v>
      </c>
      <c r="G55" s="18" t="n">
        <v>19.60511266</v>
      </c>
      <c r="H55" s="20" t="n">
        <v>1.81765012</v>
      </c>
      <c r="I55" s="18" t="s">
        <v>349</v>
      </c>
      <c r="J55" s="20" t="s">
        <v>349</v>
      </c>
      <c r="K55" s="18" t="n">
        <v>3.05583198</v>
      </c>
      <c r="L55" s="20" t="n">
        <v>0.84273061</v>
      </c>
      <c r="M55" s="18" t="n">
        <v>0</v>
      </c>
      <c r="N55" s="20" t="n">
        <v>0</v>
      </c>
      <c r="O55" s="18" t="n">
        <v>0.14586437</v>
      </c>
      <c r="P55" s="20" t="n">
        <v>0.14555469</v>
      </c>
      <c r="Q55" s="18" t="n">
        <v>2.31432196</v>
      </c>
      <c r="R55" s="20" t="n">
        <v>0.72614287</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(2817.0/B57*100)</f>
        <v/>
      </c>
      <c r="D57" s="19" t="n">
        <v>526</v>
      </c>
      <c r="E57" s="18" t="n">
        <v>71.85049184</v>
      </c>
      <c r="F57" s="20" t="n">
        <v>2.71134699</v>
      </c>
      <c r="G57" s="18" t="n">
        <v>24.79991128</v>
      </c>
      <c r="H57" s="20" t="n">
        <v>2.64910001</v>
      </c>
      <c r="I57" s="18" t="s">
        <v>349</v>
      </c>
      <c r="J57" s="20" t="s">
        <v>349</v>
      </c>
      <c r="K57" s="18" t="n">
        <v>0.83048993</v>
      </c>
      <c r="L57" s="20" t="n">
        <v>0.48448468</v>
      </c>
      <c r="M57" s="18" t="n">
        <v>0</v>
      </c>
      <c r="N57" s="20" t="n">
        <v>0</v>
      </c>
      <c r="O57" s="18" t="n">
        <v>0</v>
      </c>
      <c r="P57" s="20" t="n">
        <v>0</v>
      </c>
      <c r="Q57" s="18" t="n">
        <v>2.51910694</v>
      </c>
      <c r="R57" s="20" t="n">
        <v>0.72508463</v>
      </c>
    </row>
    <row r="58" spans="1:18">
      <c r="A58" s="15" t="s">
        <v>400</v>
      </c>
      <c r="B58" s="17" t="n">
        <v>3737</v>
      </c>
      <c r="C58" s="18">
        <f>(3129.0/B58*100)</f>
        <v/>
      </c>
      <c r="D58" s="19" t="n">
        <v>608</v>
      </c>
      <c r="E58" s="18" t="n">
        <v>75.3402095</v>
      </c>
      <c r="F58" s="20" t="n">
        <v>2.25549911</v>
      </c>
      <c r="G58" s="18" t="n">
        <v>19.66443522</v>
      </c>
      <c r="H58" s="20" t="n">
        <v>2.00513351</v>
      </c>
      <c r="I58" s="18" t="s">
        <v>349</v>
      </c>
      <c r="J58" s="20" t="s">
        <v>349</v>
      </c>
      <c r="K58" s="18" t="n">
        <v>1.91361475</v>
      </c>
      <c r="L58" s="20" t="n">
        <v>0.6464748299999999</v>
      </c>
      <c r="M58" s="18" t="n">
        <v>0</v>
      </c>
      <c r="N58" s="20" t="n">
        <v>0</v>
      </c>
      <c r="O58" s="18" t="n">
        <v>0</v>
      </c>
      <c r="P58" s="20" t="n">
        <v>0</v>
      </c>
      <c r="Q58" s="18" t="n">
        <v>3.08174053</v>
      </c>
      <c r="R58" s="20" t="n">
        <v>0.82993583</v>
      </c>
    </row>
    <row r="59" spans="1:18">
      <c r="A59" s="15" t="s">
        <v>401</v>
      </c>
      <c r="B59" s="17" t="n">
        <v>2278</v>
      </c>
      <c r="C59" s="18">
        <f>(1870.0/B59*100)</f>
        <v/>
      </c>
      <c r="D59" s="19" t="n">
        <v>408</v>
      </c>
      <c r="E59" s="18" t="n">
        <v>72.98717310000001</v>
      </c>
      <c r="F59" s="20" t="n">
        <v>2.57964973</v>
      </c>
      <c r="G59" s="18" t="n">
        <v>20.54643354</v>
      </c>
      <c r="H59" s="20" t="n">
        <v>2.46467243</v>
      </c>
      <c r="I59" s="18" t="s">
        <v>349</v>
      </c>
      <c r="J59" s="20" t="s">
        <v>349</v>
      </c>
      <c r="K59" s="18" t="n">
        <v>1.73798518</v>
      </c>
      <c r="L59" s="20" t="n">
        <v>0.53675362</v>
      </c>
      <c r="M59" s="18" t="n">
        <v>0</v>
      </c>
      <c r="N59" s="20" t="n">
        <v>0</v>
      </c>
      <c r="O59" s="18" t="n">
        <v>0.61676769</v>
      </c>
      <c r="P59" s="20" t="n">
        <v>0.47856062</v>
      </c>
      <c r="Q59" s="18" t="n">
        <v>4.11164049</v>
      </c>
      <c r="R59" s="20" t="n">
        <v>1.16306681</v>
      </c>
    </row>
    <row r="60" spans="1:18">
      <c r="A60" s="15" t="s">
        <v>402</v>
      </c>
      <c r="B60" s="17" t="n">
        <v>2451</v>
      </c>
      <c r="C60" s="18">
        <f>(2052.0/B60*100)</f>
        <v/>
      </c>
      <c r="D60" s="19" t="n">
        <v>399</v>
      </c>
      <c r="E60" s="18" t="n">
        <v>67.21557507</v>
      </c>
      <c r="F60" s="20" t="n">
        <v>2.9296244</v>
      </c>
      <c r="G60" s="18" t="n">
        <v>21.1488968</v>
      </c>
      <c r="H60" s="20" t="n">
        <v>2.32095534</v>
      </c>
      <c r="I60" s="18" t="s">
        <v>349</v>
      </c>
      <c r="J60" s="20" t="s">
        <v>349</v>
      </c>
      <c r="K60" s="18" t="n">
        <v>6.03768881</v>
      </c>
      <c r="L60" s="20" t="n">
        <v>1.37527794</v>
      </c>
      <c r="M60" s="18" t="n">
        <v>0</v>
      </c>
      <c r="N60" s="20" t="n">
        <v>0</v>
      </c>
      <c r="O60" s="18" t="n">
        <v>0.39533366</v>
      </c>
      <c r="P60" s="20" t="n">
        <v>0.28782105</v>
      </c>
      <c r="Q60" s="18" t="n">
        <v>5.20250567</v>
      </c>
      <c r="R60" s="20" t="n">
        <v>1.38018547</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(2106.0/B63*100)</f>
        <v/>
      </c>
      <c r="D63" s="19" t="n">
        <v>405</v>
      </c>
      <c r="E63" s="18" t="n">
        <v>63.01091849</v>
      </c>
      <c r="F63" s="20" t="n">
        <v>2.25857792</v>
      </c>
      <c r="G63" s="18" t="n">
        <v>18.09591852</v>
      </c>
      <c r="H63" s="20" t="n">
        <v>2.0505679</v>
      </c>
      <c r="I63" s="18" t="s">
        <v>349</v>
      </c>
      <c r="J63" s="20" t="s">
        <v>349</v>
      </c>
      <c r="K63" s="18" t="n">
        <v>7.20745167</v>
      </c>
      <c r="L63" s="20" t="n">
        <v>1.37885588</v>
      </c>
      <c r="M63" s="18" t="n">
        <v>0</v>
      </c>
      <c r="N63" s="20" t="n">
        <v>0</v>
      </c>
      <c r="O63" s="18" t="n">
        <v>0</v>
      </c>
      <c r="P63" s="20" t="n">
        <v>0</v>
      </c>
      <c r="Q63" s="18" t="n">
        <v>11.68571132</v>
      </c>
      <c r="R63" s="20" t="n">
        <v>1.68613186</v>
      </c>
    </row>
    <row r="64" spans="1:18">
      <c r="A64" s="15" t="s">
        <v>406</v>
      </c>
      <c r="B64" s="17" t="n">
        <v>1790</v>
      </c>
      <c r="C64" s="18">
        <f>(1495.0/B64*100)</f>
        <v/>
      </c>
      <c r="D64" s="19" t="n">
        <v>295</v>
      </c>
      <c r="E64" s="18" t="n">
        <v>53.7501489</v>
      </c>
      <c r="F64" s="20" t="n">
        <v>2.99585725</v>
      </c>
      <c r="G64" s="18" t="n">
        <v>41.34031097</v>
      </c>
      <c r="H64" s="20" t="n">
        <v>3.07157358</v>
      </c>
      <c r="I64" s="18" t="s">
        <v>349</v>
      </c>
      <c r="J64" s="20" t="s">
        <v>349</v>
      </c>
      <c r="K64" s="18" t="n">
        <v>1.17097337</v>
      </c>
      <c r="L64" s="20" t="n">
        <v>0.6861805399999999</v>
      </c>
      <c r="M64" s="18" t="n">
        <v>0</v>
      </c>
      <c r="N64" s="20" t="n">
        <v>0</v>
      </c>
      <c r="O64" s="18" t="n">
        <v>0</v>
      </c>
      <c r="P64" s="20" t="n">
        <v>0</v>
      </c>
      <c r="Q64" s="18" t="n">
        <v>3.73856676</v>
      </c>
      <c r="R64" s="20" t="n">
        <v>1.19787757</v>
      </c>
    </row>
    <row r="65" spans="1:18">
      <c r="A65" s="15" t="s">
        <v>407</v>
      </c>
      <c r="B65" s="17" t="n">
        <v>2634</v>
      </c>
      <c r="C65" s="18">
        <f>(2201.0/B65*100)</f>
        <v/>
      </c>
      <c r="D65" s="19" t="n">
        <v>433</v>
      </c>
      <c r="E65" s="18" t="n">
        <v>71.63873017</v>
      </c>
      <c r="F65" s="20" t="n">
        <v>2.28990214</v>
      </c>
      <c r="G65" s="18" t="n">
        <v>13.59814666</v>
      </c>
      <c r="H65" s="20" t="n">
        <v>1.75147889</v>
      </c>
      <c r="I65" s="18" t="s">
        <v>349</v>
      </c>
      <c r="J65" s="20" t="s">
        <v>349</v>
      </c>
      <c r="K65" s="18" t="n">
        <v>6.31840932</v>
      </c>
      <c r="L65" s="20" t="n">
        <v>1.10483587</v>
      </c>
      <c r="M65" s="18" t="n">
        <v>0.12010705</v>
      </c>
      <c r="N65" s="20" t="n">
        <v>0.11967235</v>
      </c>
      <c r="O65" s="18" t="n">
        <v>0</v>
      </c>
      <c r="P65" s="20" t="n">
        <v>0</v>
      </c>
      <c r="Q65" s="18" t="n">
        <v>8.324606810000001</v>
      </c>
      <c r="R65" s="20" t="n">
        <v>1.12537165</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(2040.0/B69*100)</f>
        <v/>
      </c>
      <c r="D69" s="19" t="n">
        <v>426</v>
      </c>
      <c r="E69" s="18" t="n">
        <v>76.36411028000001</v>
      </c>
      <c r="F69" s="20" t="n">
        <v>2.31565115</v>
      </c>
      <c r="G69" s="18" t="n">
        <v>23.27223849</v>
      </c>
      <c r="H69" s="20" t="n">
        <v>2.32264279</v>
      </c>
      <c r="I69" s="18" t="s">
        <v>349</v>
      </c>
      <c r="J69" s="20" t="s">
        <v>349</v>
      </c>
      <c r="K69" s="18" t="n">
        <v>0</v>
      </c>
      <c r="L69" s="20" t="n">
        <v>0</v>
      </c>
      <c r="M69" s="18" t="n">
        <v>0</v>
      </c>
      <c r="N69" s="20" t="n">
        <v>0</v>
      </c>
      <c r="O69" s="18" t="n">
        <v>0</v>
      </c>
      <c r="P69" s="20" t="n">
        <v>0</v>
      </c>
      <c r="Q69" s="18" t="n">
        <v>0.36365123</v>
      </c>
      <c r="R69" s="20" t="n">
        <v>0.26491592</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(2048.0/B74*100)</f>
        <v/>
      </c>
      <c r="D74" s="19" t="n">
        <v>405</v>
      </c>
      <c r="E74" s="18" t="n">
        <v>55.54780174</v>
      </c>
      <c r="F74" s="20" t="n">
        <v>2.41803588</v>
      </c>
      <c r="G74" s="18" t="n">
        <v>33.79328564</v>
      </c>
      <c r="H74" s="20" t="n">
        <v>2.56420638</v>
      </c>
      <c r="I74" s="18" t="s">
        <v>349</v>
      </c>
      <c r="J74" s="20" t="s">
        <v>349</v>
      </c>
      <c r="K74" s="18" t="n">
        <v>6.55279075</v>
      </c>
      <c r="L74" s="20" t="n">
        <v>1.31894809</v>
      </c>
      <c r="M74" s="18" t="n">
        <v>0</v>
      </c>
      <c r="N74" s="20" t="n">
        <v>0</v>
      </c>
      <c r="O74" s="18" t="n">
        <v>0</v>
      </c>
      <c r="P74" s="20" t="n">
        <v>0</v>
      </c>
      <c r="Q74" s="18" t="n">
        <v>4.10612187</v>
      </c>
      <c r="R74" s="20" t="n">
        <v>1.13660125</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(2531.0/B78*100)</f>
        <v/>
      </c>
      <c r="D78" s="19" t="n">
        <v>509</v>
      </c>
      <c r="E78" s="18" t="n">
        <v>51.05290522</v>
      </c>
      <c r="F78" s="20" t="n">
        <v>2.77854714</v>
      </c>
      <c r="G78" s="18" t="n">
        <v>48.94709478</v>
      </c>
      <c r="H78" s="20" t="n">
        <v>2.77854714</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(735.0/B79*100)</f>
        <v/>
      </c>
      <c r="D79" s="19" t="n">
        <v>135</v>
      </c>
      <c r="E79" s="18" t="n">
        <v>73.79930747</v>
      </c>
      <c r="F79" s="20" t="n">
        <v>4.76827341</v>
      </c>
      <c r="G79" s="18" t="n">
        <v>18.82388916</v>
      </c>
      <c r="H79" s="20" t="n">
        <v>3.92449242</v>
      </c>
      <c r="I79" s="18" t="s">
        <v>349</v>
      </c>
      <c r="J79" s="20" t="s">
        <v>349</v>
      </c>
      <c r="K79" s="18" t="n">
        <v>3.86302319</v>
      </c>
      <c r="L79" s="20" t="n">
        <v>1.61416898</v>
      </c>
      <c r="M79" s="18" t="n">
        <v>0</v>
      </c>
      <c r="N79" s="20" t="n">
        <v>0</v>
      </c>
      <c r="O79" s="18" t="n">
        <v>0</v>
      </c>
      <c r="P79" s="20" t="n">
        <v>0</v>
      </c>
      <c r="Q79" s="18" t="n">
        <v>3.51378018</v>
      </c>
      <c r="R79" s="20" t="n">
        <v>1.71818582</v>
      </c>
    </row>
    <row r="80" spans="1:18">
      <c r="A80" s="15" t="s">
        <v>422</v>
      </c>
      <c r="B80" s="17" t="n">
        <v>4043</v>
      </c>
      <c r="C80" s="18">
        <f>(3366.0/B80*100)</f>
        <v/>
      </c>
      <c r="D80" s="19" t="n">
        <v>677</v>
      </c>
      <c r="E80" s="18" t="n">
        <v>76.22150574</v>
      </c>
      <c r="F80" s="20" t="n">
        <v>2.19702997</v>
      </c>
      <c r="G80" s="18" t="n">
        <v>22.76269324</v>
      </c>
      <c r="H80" s="20" t="n">
        <v>2.12059937</v>
      </c>
      <c r="I80" s="18" t="s">
        <v>349</v>
      </c>
      <c r="J80" s="20" t="s">
        <v>349</v>
      </c>
      <c r="K80" s="18" t="n">
        <v>0</v>
      </c>
      <c r="L80" s="20" t="n">
        <v>0</v>
      </c>
      <c r="M80" s="18" t="n">
        <v>0</v>
      </c>
      <c r="N80" s="20" t="n">
        <v>0</v>
      </c>
      <c r="O80" s="18" t="n">
        <v>0</v>
      </c>
      <c r="P80" s="20" t="n">
        <v>0</v>
      </c>
      <c r="Q80" s="18" t="n">
        <v>1.01580103</v>
      </c>
      <c r="R80" s="20" t="n">
        <v>1.0246453</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(2239.0/B44*100)</f>
        <v/>
      </c>
      <c r="D44" s="19" t="n">
        <v>452</v>
      </c>
      <c r="E44" s="18" t="n">
        <v>30.89659378</v>
      </c>
      <c r="F44" s="20" t="n">
        <v>2.84453937</v>
      </c>
      <c r="G44" s="18" t="n">
        <v>54.84744059</v>
      </c>
      <c r="H44" s="20" t="n">
        <v>3.08137195</v>
      </c>
      <c r="I44" s="18" t="s">
        <v>349</v>
      </c>
      <c r="J44" s="20" t="s">
        <v>349</v>
      </c>
      <c r="K44" s="18" t="n">
        <v>3.94738771</v>
      </c>
      <c r="L44" s="20" t="n">
        <v>1.2521727</v>
      </c>
      <c r="M44" s="18" t="n">
        <v>0</v>
      </c>
      <c r="N44" s="20" t="n">
        <v>0</v>
      </c>
      <c r="O44" s="18" t="n">
        <v>0</v>
      </c>
      <c r="P44" s="20" t="n">
        <v>0</v>
      </c>
      <c r="Q44" s="18" t="n">
        <v>10.30857792</v>
      </c>
      <c r="R44" s="20" t="n">
        <v>1.56658433</v>
      </c>
    </row>
    <row r="45" spans="1:18">
      <c r="A45" s="15" t="s">
        <v>387</v>
      </c>
      <c r="B45" s="17" t="n">
        <v>2670</v>
      </c>
      <c r="C45" s="18">
        <f>(2262.0/B45*100)</f>
        <v/>
      </c>
      <c r="D45" s="19" t="n">
        <v>408</v>
      </c>
      <c r="E45" s="18" t="n">
        <v>32.30258268</v>
      </c>
      <c r="F45" s="20" t="n">
        <v>2.48429125</v>
      </c>
      <c r="G45" s="18" t="n">
        <v>51.39469647</v>
      </c>
      <c r="H45" s="20" t="n">
        <v>3.18794749</v>
      </c>
      <c r="I45" s="18" t="s">
        <v>349</v>
      </c>
      <c r="J45" s="20" t="s">
        <v>349</v>
      </c>
      <c r="K45" s="18" t="n">
        <v>9.243134660000001</v>
      </c>
      <c r="L45" s="20" t="n">
        <v>1.3604967</v>
      </c>
      <c r="M45" s="18" t="n">
        <v>0</v>
      </c>
      <c r="N45" s="20" t="n">
        <v>0</v>
      </c>
      <c r="O45" s="18" t="n">
        <v>0.59186944</v>
      </c>
      <c r="P45" s="20" t="n">
        <v>0.40418978</v>
      </c>
      <c r="Q45" s="18" t="n">
        <v>6.46771675</v>
      </c>
      <c r="R45" s="20" t="n">
        <v>1.27788107</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(2794.0/B49*100)</f>
        <v/>
      </c>
      <c r="D49" s="19" t="n">
        <v>537</v>
      </c>
      <c r="E49" s="18" t="n">
        <v>48.56800653</v>
      </c>
      <c r="F49" s="20" t="n">
        <v>2.36290951</v>
      </c>
      <c r="G49" s="18" t="n">
        <v>33.69628407</v>
      </c>
      <c r="H49" s="20" t="n">
        <v>2.26363828</v>
      </c>
      <c r="I49" s="18" t="s">
        <v>349</v>
      </c>
      <c r="J49" s="20" t="s">
        <v>349</v>
      </c>
      <c r="K49" s="18" t="n">
        <v>3.91755666</v>
      </c>
      <c r="L49" s="20" t="n">
        <v>1.0957454</v>
      </c>
      <c r="M49" s="18" t="n">
        <v>0</v>
      </c>
      <c r="N49" s="20" t="n">
        <v>0</v>
      </c>
      <c r="O49" s="18" t="n">
        <v>0</v>
      </c>
      <c r="P49" s="20" t="n">
        <v>0</v>
      </c>
      <c r="Q49" s="18" t="n">
        <v>13.81815274</v>
      </c>
      <c r="R49" s="20" t="n">
        <v>1.70564687</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(2122.0/B55*100)</f>
        <v/>
      </c>
      <c r="D55" s="19" t="n">
        <v>435</v>
      </c>
      <c r="E55" s="18" t="n">
        <v>39.87640452</v>
      </c>
      <c r="F55" s="20" t="n">
        <v>2.66351079</v>
      </c>
      <c r="G55" s="18" t="n">
        <v>43.10960158</v>
      </c>
      <c r="H55" s="20" t="n">
        <v>2.4515652</v>
      </c>
      <c r="I55" s="18" t="s">
        <v>349</v>
      </c>
      <c r="J55" s="20" t="s">
        <v>349</v>
      </c>
      <c r="K55" s="18" t="n">
        <v>3.97636987</v>
      </c>
      <c r="L55" s="20" t="n">
        <v>0.87842214</v>
      </c>
      <c r="M55" s="18" t="n">
        <v>0</v>
      </c>
      <c r="N55" s="20" t="n">
        <v>0</v>
      </c>
      <c r="O55" s="18" t="n">
        <v>0</v>
      </c>
      <c r="P55" s="20" t="n">
        <v>0</v>
      </c>
      <c r="Q55" s="18" t="n">
        <v>13.03762402</v>
      </c>
      <c r="R55" s="20" t="n">
        <v>1.72456644</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(2817.0/B57*100)</f>
        <v/>
      </c>
      <c r="D57" s="19" t="n">
        <v>526</v>
      </c>
      <c r="E57" s="18" t="n">
        <v>50.72233301</v>
      </c>
      <c r="F57" s="20" t="n">
        <v>2.80794343</v>
      </c>
      <c r="G57" s="18" t="n">
        <v>42.87118495</v>
      </c>
      <c r="H57" s="20" t="n">
        <v>2.82760883</v>
      </c>
      <c r="I57" s="18" t="s">
        <v>349</v>
      </c>
      <c r="J57" s="20" t="s">
        <v>349</v>
      </c>
      <c r="K57" s="18" t="n">
        <v>1.22331565</v>
      </c>
      <c r="L57" s="20" t="n">
        <v>0.55746548</v>
      </c>
      <c r="M57" s="18" t="n">
        <v>0</v>
      </c>
      <c r="N57" s="20" t="n">
        <v>0</v>
      </c>
      <c r="O57" s="18" t="n">
        <v>0</v>
      </c>
      <c r="P57" s="20" t="n">
        <v>0</v>
      </c>
      <c r="Q57" s="18" t="n">
        <v>5.1831664</v>
      </c>
      <c r="R57" s="20" t="n">
        <v>1.43685962</v>
      </c>
    </row>
    <row r="58" spans="1:18">
      <c r="A58" s="15" t="s">
        <v>400</v>
      </c>
      <c r="B58" s="17" t="n">
        <v>3737</v>
      </c>
      <c r="C58" s="18">
        <f>(3129.0/B58*100)</f>
        <v/>
      </c>
      <c r="D58" s="19" t="n">
        <v>608</v>
      </c>
      <c r="E58" s="18" t="n">
        <v>31.43889454</v>
      </c>
      <c r="F58" s="20" t="n">
        <v>2.63860642</v>
      </c>
      <c r="G58" s="18" t="n">
        <v>62.93369944</v>
      </c>
      <c r="H58" s="20" t="n">
        <v>2.86368252</v>
      </c>
      <c r="I58" s="18" t="s">
        <v>349</v>
      </c>
      <c r="J58" s="20" t="s">
        <v>349</v>
      </c>
      <c r="K58" s="18" t="n">
        <v>2.17818729</v>
      </c>
      <c r="L58" s="20" t="n">
        <v>0.69231231</v>
      </c>
      <c r="M58" s="18" t="n">
        <v>0</v>
      </c>
      <c r="N58" s="20" t="n">
        <v>0</v>
      </c>
      <c r="O58" s="18" t="n">
        <v>0</v>
      </c>
      <c r="P58" s="20" t="n">
        <v>0</v>
      </c>
      <c r="Q58" s="18" t="n">
        <v>3.44921873</v>
      </c>
      <c r="R58" s="20" t="n">
        <v>0.9115748299999999</v>
      </c>
    </row>
    <row r="59" spans="1:18">
      <c r="A59" s="15" t="s">
        <v>401</v>
      </c>
      <c r="B59" s="17" t="n">
        <v>2278</v>
      </c>
      <c r="C59" s="18">
        <f>(1870.0/B59*100)</f>
        <v/>
      </c>
      <c r="D59" s="19" t="n">
        <v>408</v>
      </c>
      <c r="E59" s="18" t="n">
        <v>56.49379029</v>
      </c>
      <c r="F59" s="20" t="n">
        <v>3.12327796</v>
      </c>
      <c r="G59" s="18" t="n">
        <v>29.44522745</v>
      </c>
      <c r="H59" s="20" t="n">
        <v>2.66334063</v>
      </c>
      <c r="I59" s="18" t="s">
        <v>349</v>
      </c>
      <c r="J59" s="20" t="s">
        <v>349</v>
      </c>
      <c r="K59" s="18" t="n">
        <v>2.01778265</v>
      </c>
      <c r="L59" s="20" t="n">
        <v>0.60133516</v>
      </c>
      <c r="M59" s="18" t="n">
        <v>0.27979747</v>
      </c>
      <c r="N59" s="20" t="n">
        <v>0.28155886</v>
      </c>
      <c r="O59" s="18" t="n">
        <v>0</v>
      </c>
      <c r="P59" s="20" t="n">
        <v>0</v>
      </c>
      <c r="Q59" s="18" t="n">
        <v>11.76340214</v>
      </c>
      <c r="R59" s="20" t="n">
        <v>1.91303768</v>
      </c>
    </row>
    <row r="60" spans="1:18">
      <c r="A60" s="15" t="s">
        <v>402</v>
      </c>
      <c r="B60" s="17" t="n">
        <v>2451</v>
      </c>
      <c r="C60" s="18">
        <f>(2052.0/B60*100)</f>
        <v/>
      </c>
      <c r="D60" s="19" t="n">
        <v>399</v>
      </c>
      <c r="E60" s="18" t="n">
        <v>16.90139118</v>
      </c>
      <c r="F60" s="20" t="n">
        <v>2.31470343</v>
      </c>
      <c r="G60" s="18" t="n">
        <v>66.03478842</v>
      </c>
      <c r="H60" s="20" t="n">
        <v>2.7635782</v>
      </c>
      <c r="I60" s="18" t="s">
        <v>349</v>
      </c>
      <c r="J60" s="20" t="s">
        <v>349</v>
      </c>
      <c r="K60" s="18" t="n">
        <v>7.75578392</v>
      </c>
      <c r="L60" s="20" t="n">
        <v>1.56822846</v>
      </c>
      <c r="M60" s="18" t="n">
        <v>0.27717533</v>
      </c>
      <c r="N60" s="20" t="n">
        <v>0.26078052</v>
      </c>
      <c r="O60" s="18" t="n">
        <v>0</v>
      </c>
      <c r="P60" s="20" t="n">
        <v>0</v>
      </c>
      <c r="Q60" s="18" t="n">
        <v>9.03086115</v>
      </c>
      <c r="R60" s="20" t="n">
        <v>1.61411361</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(2106.0/B63*100)</f>
        <v/>
      </c>
      <c r="D63" s="19" t="n">
        <v>405</v>
      </c>
      <c r="E63" s="18" t="n">
        <v>31.53768002</v>
      </c>
      <c r="F63" s="20" t="n">
        <v>1.94491356</v>
      </c>
      <c r="G63" s="18" t="n">
        <v>41.73579451</v>
      </c>
      <c r="H63" s="20" t="n">
        <v>2.19441543</v>
      </c>
      <c r="I63" s="18" t="s">
        <v>349</v>
      </c>
      <c r="J63" s="20" t="s">
        <v>349</v>
      </c>
      <c r="K63" s="18" t="n">
        <v>8.430287290000001</v>
      </c>
      <c r="L63" s="20" t="n">
        <v>1.54496518</v>
      </c>
      <c r="M63" s="18" t="n">
        <v>0</v>
      </c>
      <c r="N63" s="20" t="n">
        <v>0</v>
      </c>
      <c r="O63" s="18" t="n">
        <v>0</v>
      </c>
      <c r="P63" s="20" t="n">
        <v>0</v>
      </c>
      <c r="Q63" s="18" t="n">
        <v>18.29623817</v>
      </c>
      <c r="R63" s="20" t="n">
        <v>1.75805752</v>
      </c>
    </row>
    <row r="64" spans="1:18">
      <c r="A64" s="15" t="s">
        <v>406</v>
      </c>
      <c r="B64" s="17" t="n">
        <v>1790</v>
      </c>
      <c r="C64" s="18">
        <f>(1495.0/B64*100)</f>
        <v/>
      </c>
      <c r="D64" s="19" t="n">
        <v>295</v>
      </c>
      <c r="E64" s="18" t="n">
        <v>25.83407404</v>
      </c>
      <c r="F64" s="20" t="n">
        <v>2.47690992</v>
      </c>
      <c r="G64" s="18" t="n">
        <v>65.95514559</v>
      </c>
      <c r="H64" s="20" t="n">
        <v>2.79234677</v>
      </c>
      <c r="I64" s="18" t="s">
        <v>349</v>
      </c>
      <c r="J64" s="20" t="s">
        <v>349</v>
      </c>
      <c r="K64" s="18" t="n">
        <v>1.57090231</v>
      </c>
      <c r="L64" s="20" t="n">
        <v>0.80143286</v>
      </c>
      <c r="M64" s="18" t="n">
        <v>0</v>
      </c>
      <c r="N64" s="20" t="n">
        <v>0</v>
      </c>
      <c r="O64" s="18" t="n">
        <v>0</v>
      </c>
      <c r="P64" s="20" t="n">
        <v>0</v>
      </c>
      <c r="Q64" s="18" t="n">
        <v>6.63987805</v>
      </c>
      <c r="R64" s="20" t="n">
        <v>1.50503234</v>
      </c>
    </row>
    <row r="65" spans="1:18">
      <c r="A65" s="15" t="s">
        <v>407</v>
      </c>
      <c r="B65" s="17" t="n">
        <v>2634</v>
      </c>
      <c r="C65" s="18">
        <f>(2201.0/B65*100)</f>
        <v/>
      </c>
      <c r="D65" s="19" t="n">
        <v>433</v>
      </c>
      <c r="E65" s="18" t="n">
        <v>34.51217514</v>
      </c>
      <c r="F65" s="20" t="n">
        <v>2.27518117</v>
      </c>
      <c r="G65" s="18" t="n">
        <v>46.03934129</v>
      </c>
      <c r="H65" s="20" t="n">
        <v>2.31891907</v>
      </c>
      <c r="I65" s="18" t="s">
        <v>349</v>
      </c>
      <c r="J65" s="20" t="s">
        <v>349</v>
      </c>
      <c r="K65" s="18" t="n">
        <v>7.26849281</v>
      </c>
      <c r="L65" s="20" t="n">
        <v>1.21523938</v>
      </c>
      <c r="M65" s="18" t="n">
        <v>0</v>
      </c>
      <c r="N65" s="20" t="n">
        <v>0</v>
      </c>
      <c r="O65" s="18" t="n">
        <v>0</v>
      </c>
      <c r="P65" s="20" t="n">
        <v>0</v>
      </c>
      <c r="Q65" s="18" t="n">
        <v>12.17999076</v>
      </c>
      <c r="R65" s="20" t="n">
        <v>1.75341896</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(2040.0/B69*100)</f>
        <v/>
      </c>
      <c r="D69" s="19" t="n">
        <v>426</v>
      </c>
      <c r="E69" s="18" t="n">
        <v>40.98231809</v>
      </c>
      <c r="F69" s="20" t="n">
        <v>2.6462963</v>
      </c>
      <c r="G69" s="18" t="n">
        <v>58.8211564</v>
      </c>
      <c r="H69" s="20" t="n">
        <v>2.65027894</v>
      </c>
      <c r="I69" s="18" t="s">
        <v>349</v>
      </c>
      <c r="J69" s="20" t="s">
        <v>349</v>
      </c>
      <c r="K69" s="18" t="n">
        <v>0</v>
      </c>
      <c r="L69" s="20" t="n">
        <v>0</v>
      </c>
      <c r="M69" s="18" t="n">
        <v>0</v>
      </c>
      <c r="N69" s="20" t="n">
        <v>0</v>
      </c>
      <c r="O69" s="18" t="n">
        <v>0</v>
      </c>
      <c r="P69" s="20" t="n">
        <v>0</v>
      </c>
      <c r="Q69" s="18" t="n">
        <v>0.1965255</v>
      </c>
      <c r="R69" s="20" t="n">
        <v>0.19522324</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(2048.0/B74*100)</f>
        <v/>
      </c>
      <c r="D74" s="19" t="n">
        <v>405</v>
      </c>
      <c r="E74" s="18" t="n">
        <v>27.01774535</v>
      </c>
      <c r="F74" s="20" t="n">
        <v>2.23227807</v>
      </c>
      <c r="G74" s="18" t="n">
        <v>56.10981073</v>
      </c>
      <c r="H74" s="20" t="n">
        <v>2.87297273</v>
      </c>
      <c r="I74" s="18" t="s">
        <v>349</v>
      </c>
      <c r="J74" s="20" t="s">
        <v>349</v>
      </c>
      <c r="K74" s="18" t="n">
        <v>7.99434901</v>
      </c>
      <c r="L74" s="20" t="n">
        <v>1.49100587</v>
      </c>
      <c r="M74" s="18" t="n">
        <v>0</v>
      </c>
      <c r="N74" s="20" t="n">
        <v>0</v>
      </c>
      <c r="O74" s="18" t="n">
        <v>0</v>
      </c>
      <c r="P74" s="20" t="n">
        <v>0</v>
      </c>
      <c r="Q74" s="18" t="n">
        <v>8.87809491</v>
      </c>
      <c r="R74" s="20" t="n">
        <v>1.47342941</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(2531.0/B78*100)</f>
        <v/>
      </c>
      <c r="D78" s="19" t="n">
        <v>509</v>
      </c>
      <c r="E78" s="18" t="n">
        <v>15.46887471</v>
      </c>
      <c r="F78" s="20" t="n">
        <v>2.24542438</v>
      </c>
      <c r="G78" s="18" t="n">
        <v>83.99809727</v>
      </c>
      <c r="H78" s="20" t="n">
        <v>2.20637464</v>
      </c>
      <c r="I78" s="18" t="s">
        <v>349</v>
      </c>
      <c r="J78" s="20" t="s">
        <v>349</v>
      </c>
      <c r="K78" s="18" t="n">
        <v>0</v>
      </c>
      <c r="L78" s="20" t="n">
        <v>0</v>
      </c>
      <c r="M78" s="18" t="n">
        <v>0</v>
      </c>
      <c r="N78" s="20" t="n">
        <v>0</v>
      </c>
      <c r="O78" s="18" t="n">
        <v>0</v>
      </c>
      <c r="P78" s="20" t="n">
        <v>0</v>
      </c>
      <c r="Q78" s="18" t="n">
        <v>0.53302802</v>
      </c>
      <c r="R78" s="20" t="n">
        <v>0.30945668</v>
      </c>
    </row>
    <row customHeight="1" ht="25" r="79" spans="1:18">
      <c r="A79" s="15" t="s">
        <v>421</v>
      </c>
      <c r="B79" s="17" t="n">
        <v>870</v>
      </c>
      <c r="C79" s="18">
        <f>(735.0/B79*100)</f>
        <v/>
      </c>
      <c r="D79" s="19" t="n">
        <v>135</v>
      </c>
      <c r="E79" s="18" t="n">
        <v>16.63887851</v>
      </c>
      <c r="F79" s="20" t="n">
        <v>4.51212602</v>
      </c>
      <c r="G79" s="18" t="n">
        <v>64.76583167</v>
      </c>
      <c r="H79" s="20" t="n">
        <v>6.3562981</v>
      </c>
      <c r="I79" s="18" t="s">
        <v>349</v>
      </c>
      <c r="J79" s="20" t="s">
        <v>349</v>
      </c>
      <c r="K79" s="18" t="n">
        <v>4.75724177</v>
      </c>
      <c r="L79" s="20" t="n">
        <v>2.27369608</v>
      </c>
      <c r="M79" s="18" t="n">
        <v>0</v>
      </c>
      <c r="N79" s="20" t="n">
        <v>0</v>
      </c>
      <c r="O79" s="18" t="n">
        <v>0</v>
      </c>
      <c r="P79" s="20" t="n">
        <v>0</v>
      </c>
      <c r="Q79" s="18" t="n">
        <v>13.83804805</v>
      </c>
      <c r="R79" s="20" t="n">
        <v>3.64081027</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(2239.0/B44*100)</f>
        <v/>
      </c>
      <c r="D44" s="19" t="n">
        <v>452</v>
      </c>
      <c r="E44" s="18" t="n">
        <v>46.88390998</v>
      </c>
      <c r="F44" s="20" t="n">
        <v>2.71827458</v>
      </c>
      <c r="G44" s="18" t="n">
        <v>41.88860478</v>
      </c>
      <c r="H44" s="20" t="n">
        <v>2.98191325</v>
      </c>
      <c r="I44" s="18" t="s">
        <v>349</v>
      </c>
      <c r="J44" s="20" t="s">
        <v>349</v>
      </c>
      <c r="K44" s="18" t="n">
        <v>6.80293489</v>
      </c>
      <c r="L44" s="20" t="n">
        <v>1.45643188</v>
      </c>
      <c r="M44" s="18" t="n">
        <v>0</v>
      </c>
      <c r="N44" s="20" t="n">
        <v>0</v>
      </c>
      <c r="O44" s="18" t="n">
        <v>0.44747404</v>
      </c>
      <c r="P44" s="20" t="n">
        <v>0.32011776</v>
      </c>
      <c r="Q44" s="18" t="n">
        <v>3.97707631</v>
      </c>
      <c r="R44" s="20" t="n">
        <v>1.03922518</v>
      </c>
    </row>
    <row r="45" spans="1:18">
      <c r="A45" s="15" t="s">
        <v>387</v>
      </c>
      <c r="B45" s="17" t="n">
        <v>2670</v>
      </c>
      <c r="C45" s="18">
        <f>(2262.0/B45*100)</f>
        <v/>
      </c>
      <c r="D45" s="19" t="n">
        <v>408</v>
      </c>
      <c r="E45" s="18" t="n">
        <v>54.33066141</v>
      </c>
      <c r="F45" s="20" t="n">
        <v>2.62377308</v>
      </c>
      <c r="G45" s="18" t="n">
        <v>31.00924189</v>
      </c>
      <c r="H45" s="20" t="n">
        <v>2.57937321</v>
      </c>
      <c r="I45" s="18" t="s">
        <v>349</v>
      </c>
      <c r="J45" s="20" t="s">
        <v>349</v>
      </c>
      <c r="K45" s="18" t="n">
        <v>10.10306244</v>
      </c>
      <c r="L45" s="20" t="n">
        <v>1.40696343</v>
      </c>
      <c r="M45" s="18" t="n">
        <v>0.7002055700000001</v>
      </c>
      <c r="N45" s="20" t="n">
        <v>0.42898228</v>
      </c>
      <c r="O45" s="18" t="n">
        <v>0.48555279</v>
      </c>
      <c r="P45" s="20" t="n">
        <v>0.33717555</v>
      </c>
      <c r="Q45" s="18" t="n">
        <v>3.37127591</v>
      </c>
      <c r="R45" s="20" t="n">
        <v>0.87816885</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(2794.0/B49*100)</f>
        <v/>
      </c>
      <c r="D49" s="19" t="n">
        <v>537</v>
      </c>
      <c r="E49" s="18" t="n">
        <v>50.63826247</v>
      </c>
      <c r="F49" s="20" t="n">
        <v>2.92362237</v>
      </c>
      <c r="G49" s="18" t="n">
        <v>41.76979627</v>
      </c>
      <c r="H49" s="20" t="n">
        <v>2.90119266</v>
      </c>
      <c r="I49" s="18" t="s">
        <v>349</v>
      </c>
      <c r="J49" s="20" t="s">
        <v>349</v>
      </c>
      <c r="K49" s="18" t="n">
        <v>5.37088882</v>
      </c>
      <c r="L49" s="20" t="n">
        <v>1.25857468</v>
      </c>
      <c r="M49" s="18" t="n">
        <v>0</v>
      </c>
      <c r="N49" s="20" t="n">
        <v>0</v>
      </c>
      <c r="O49" s="18" t="n">
        <v>0</v>
      </c>
      <c r="P49" s="20" t="n">
        <v>0</v>
      </c>
      <c r="Q49" s="18" t="n">
        <v>2.22105244</v>
      </c>
      <c r="R49" s="20" t="n">
        <v>0.70978248</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(2122.0/B55*100)</f>
        <v/>
      </c>
      <c r="D55" s="19" t="n">
        <v>435</v>
      </c>
      <c r="E55" s="18" t="n">
        <v>51.86522282</v>
      </c>
      <c r="F55" s="20" t="n">
        <v>2.15702751</v>
      </c>
      <c r="G55" s="18" t="n">
        <v>40.03947763</v>
      </c>
      <c r="H55" s="20" t="n">
        <v>2.26301119</v>
      </c>
      <c r="I55" s="18" t="s">
        <v>349</v>
      </c>
      <c r="J55" s="20" t="s">
        <v>349</v>
      </c>
      <c r="K55" s="18" t="n">
        <v>5.63318939</v>
      </c>
      <c r="L55" s="20" t="n">
        <v>1.05665214</v>
      </c>
      <c r="M55" s="18" t="n">
        <v>0</v>
      </c>
      <c r="N55" s="20" t="n">
        <v>0</v>
      </c>
      <c r="O55" s="18" t="n">
        <v>0.20844779</v>
      </c>
      <c r="P55" s="20" t="n">
        <v>0.21542047</v>
      </c>
      <c r="Q55" s="18" t="n">
        <v>2.25366236</v>
      </c>
      <c r="R55" s="20" t="n">
        <v>0.73970709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(2817.0/B57*100)</f>
        <v/>
      </c>
      <c r="D57" s="19" t="n">
        <v>526</v>
      </c>
      <c r="E57" s="18" t="n">
        <v>65.48901943</v>
      </c>
      <c r="F57" s="20" t="n">
        <v>2.35365916</v>
      </c>
      <c r="G57" s="18" t="n">
        <v>29.61127775</v>
      </c>
      <c r="H57" s="20" t="n">
        <v>2.23209538</v>
      </c>
      <c r="I57" s="18" t="s">
        <v>349</v>
      </c>
      <c r="J57" s="20" t="s">
        <v>349</v>
      </c>
      <c r="K57" s="18" t="n">
        <v>2.09111743</v>
      </c>
      <c r="L57" s="20" t="n">
        <v>0.75226002</v>
      </c>
      <c r="M57" s="18" t="n">
        <v>0</v>
      </c>
      <c r="N57" s="20" t="n">
        <v>0</v>
      </c>
      <c r="O57" s="18" t="n">
        <v>0</v>
      </c>
      <c r="P57" s="20" t="n">
        <v>0</v>
      </c>
      <c r="Q57" s="18" t="n">
        <v>2.80858539</v>
      </c>
      <c r="R57" s="20" t="n">
        <v>0.75891539</v>
      </c>
    </row>
    <row r="58" spans="1:18">
      <c r="A58" s="15" t="s">
        <v>400</v>
      </c>
      <c r="B58" s="17" t="n">
        <v>3737</v>
      </c>
      <c r="C58" s="18">
        <f>(3129.0/B58*100)</f>
        <v/>
      </c>
      <c r="D58" s="19" t="n">
        <v>608</v>
      </c>
      <c r="E58" s="18" t="n">
        <v>60.01601771</v>
      </c>
      <c r="F58" s="20" t="n">
        <v>2.71797745</v>
      </c>
      <c r="G58" s="18" t="n">
        <v>33.35333392</v>
      </c>
      <c r="H58" s="20" t="n">
        <v>2.35262</v>
      </c>
      <c r="I58" s="18" t="s">
        <v>349</v>
      </c>
      <c r="J58" s="20" t="s">
        <v>349</v>
      </c>
      <c r="K58" s="18" t="n">
        <v>3.29379442</v>
      </c>
      <c r="L58" s="20" t="n">
        <v>0.90217968</v>
      </c>
      <c r="M58" s="18" t="n">
        <v>0</v>
      </c>
      <c r="N58" s="20" t="n">
        <v>0</v>
      </c>
      <c r="O58" s="18" t="n">
        <v>0.21485117</v>
      </c>
      <c r="P58" s="20" t="n">
        <v>0.2137864</v>
      </c>
      <c r="Q58" s="18" t="n">
        <v>3.12200279</v>
      </c>
      <c r="R58" s="20" t="n">
        <v>0.87557988</v>
      </c>
    </row>
    <row r="59" spans="1:18">
      <c r="A59" s="15" t="s">
        <v>401</v>
      </c>
      <c r="B59" s="17" t="n">
        <v>2278</v>
      </c>
      <c r="C59" s="18">
        <f>(1870.0/B59*100)</f>
        <v/>
      </c>
      <c r="D59" s="19" t="n">
        <v>408</v>
      </c>
      <c r="E59" s="18" t="n">
        <v>64.44399459</v>
      </c>
      <c r="F59" s="20" t="n">
        <v>2.67508141</v>
      </c>
      <c r="G59" s="18" t="n">
        <v>30.81229903</v>
      </c>
      <c r="H59" s="20" t="n">
        <v>2.57109267</v>
      </c>
      <c r="I59" s="18" t="s">
        <v>349</v>
      </c>
      <c r="J59" s="20" t="s">
        <v>349</v>
      </c>
      <c r="K59" s="18" t="n">
        <v>2.01778265</v>
      </c>
      <c r="L59" s="20" t="n">
        <v>0.60133516</v>
      </c>
      <c r="M59" s="18" t="n">
        <v>0.27979747</v>
      </c>
      <c r="N59" s="20" t="n">
        <v>0.28155886</v>
      </c>
      <c r="O59" s="18" t="n">
        <v>1.09175085</v>
      </c>
      <c r="P59" s="20" t="n">
        <v>0.63807428</v>
      </c>
      <c r="Q59" s="18" t="n">
        <v>1.35437542</v>
      </c>
      <c r="R59" s="20" t="n">
        <v>0.52673258</v>
      </c>
    </row>
    <row r="60" spans="1:18">
      <c r="A60" s="15" t="s">
        <v>402</v>
      </c>
      <c r="B60" s="17" t="n">
        <v>2451</v>
      </c>
      <c r="C60" s="18">
        <f>(2052.0/B60*100)</f>
        <v/>
      </c>
      <c r="D60" s="19" t="n">
        <v>399</v>
      </c>
      <c r="E60" s="18" t="n">
        <v>47.61696331</v>
      </c>
      <c r="F60" s="20" t="n">
        <v>2.53755491</v>
      </c>
      <c r="G60" s="18" t="n">
        <v>37.92886541</v>
      </c>
      <c r="H60" s="20" t="n">
        <v>2.15731785</v>
      </c>
      <c r="I60" s="18" t="s">
        <v>349</v>
      </c>
      <c r="J60" s="20" t="s">
        <v>349</v>
      </c>
      <c r="K60" s="18" t="n">
        <v>11.95791753</v>
      </c>
      <c r="L60" s="20" t="n">
        <v>1.77890717</v>
      </c>
      <c r="M60" s="18" t="n">
        <v>0</v>
      </c>
      <c r="N60" s="20" t="n">
        <v>0</v>
      </c>
      <c r="O60" s="18" t="n">
        <v>0.76331644</v>
      </c>
      <c r="P60" s="20" t="n">
        <v>0.38558505</v>
      </c>
      <c r="Q60" s="18" t="n">
        <v>1.73293732</v>
      </c>
      <c r="R60" s="20" t="n">
        <v>0.71627034</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(2106.0/B63*100)</f>
        <v/>
      </c>
      <c r="D63" s="19" t="n">
        <v>405</v>
      </c>
      <c r="E63" s="18" t="n">
        <v>57.70347499</v>
      </c>
      <c r="F63" s="20" t="n">
        <v>2.40521056</v>
      </c>
      <c r="G63" s="18" t="n">
        <v>27.56083831</v>
      </c>
      <c r="H63" s="20" t="n">
        <v>2.10760002</v>
      </c>
      <c r="I63" s="18" t="s">
        <v>349</v>
      </c>
      <c r="J63" s="20" t="s">
        <v>349</v>
      </c>
      <c r="K63" s="18" t="n">
        <v>10.59310102</v>
      </c>
      <c r="L63" s="20" t="n">
        <v>1.71250371</v>
      </c>
      <c r="M63" s="18" t="n">
        <v>0</v>
      </c>
      <c r="N63" s="20" t="n">
        <v>0</v>
      </c>
      <c r="O63" s="18" t="n">
        <v>0.53535115</v>
      </c>
      <c r="P63" s="20" t="n">
        <v>0.39665844</v>
      </c>
      <c r="Q63" s="18" t="n">
        <v>3.60723453</v>
      </c>
      <c r="R63" s="20" t="n">
        <v>1.0507854</v>
      </c>
    </row>
    <row r="64" spans="1:18">
      <c r="A64" s="15" t="s">
        <v>406</v>
      </c>
      <c r="B64" s="17" t="n">
        <v>1790</v>
      </c>
      <c r="C64" s="18">
        <f>(1495.0/B64*100)</f>
        <v/>
      </c>
      <c r="D64" s="19" t="n">
        <v>295</v>
      </c>
      <c r="E64" s="18" t="n">
        <v>30.01524966</v>
      </c>
      <c r="F64" s="20" t="n">
        <v>2.47473242</v>
      </c>
      <c r="G64" s="18" t="n">
        <v>66.2041686</v>
      </c>
      <c r="H64" s="20" t="n">
        <v>2.55121614</v>
      </c>
      <c r="I64" s="18" t="s">
        <v>349</v>
      </c>
      <c r="J64" s="20" t="s">
        <v>349</v>
      </c>
      <c r="K64" s="18" t="n">
        <v>1.89426479</v>
      </c>
      <c r="L64" s="20" t="n">
        <v>0.8613739500000001</v>
      </c>
      <c r="M64" s="18" t="n">
        <v>0</v>
      </c>
      <c r="N64" s="20" t="n">
        <v>0</v>
      </c>
      <c r="O64" s="18" t="n">
        <v>0.45425978</v>
      </c>
      <c r="P64" s="20" t="n">
        <v>0.45607688</v>
      </c>
      <c r="Q64" s="18" t="n">
        <v>1.43205716</v>
      </c>
      <c r="R64" s="20" t="n">
        <v>0.69327044</v>
      </c>
    </row>
    <row r="65" spans="1:18">
      <c r="A65" s="15" t="s">
        <v>407</v>
      </c>
      <c r="B65" s="17" t="n">
        <v>2634</v>
      </c>
      <c r="C65" s="18">
        <f>(2201.0/B65*100)</f>
        <v/>
      </c>
      <c r="D65" s="19" t="n">
        <v>433</v>
      </c>
      <c r="E65" s="18" t="n">
        <v>47.33499677</v>
      </c>
      <c r="F65" s="20" t="n">
        <v>2.70050241</v>
      </c>
      <c r="G65" s="18" t="n">
        <v>40.01212283</v>
      </c>
      <c r="H65" s="20" t="n">
        <v>2.81192507</v>
      </c>
      <c r="I65" s="18" t="s">
        <v>349</v>
      </c>
      <c r="J65" s="20" t="s">
        <v>349</v>
      </c>
      <c r="K65" s="18" t="n">
        <v>9.48335363</v>
      </c>
      <c r="L65" s="20" t="n">
        <v>1.56389616</v>
      </c>
      <c r="M65" s="18" t="n">
        <v>0.18995838</v>
      </c>
      <c r="N65" s="20" t="n">
        <v>0.19009493</v>
      </c>
      <c r="O65" s="18" t="n">
        <v>0</v>
      </c>
      <c r="P65" s="20" t="n">
        <v>0</v>
      </c>
      <c r="Q65" s="18" t="n">
        <v>2.97956838</v>
      </c>
      <c r="R65" s="20" t="n">
        <v>0.82467637</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(2040.0/B69*100)</f>
        <v/>
      </c>
      <c r="D69" s="19" t="n">
        <v>426</v>
      </c>
      <c r="E69" s="18" t="n">
        <v>59.5941514</v>
      </c>
      <c r="F69" s="20" t="n">
        <v>2.4909081</v>
      </c>
      <c r="G69" s="18" t="n">
        <v>40.4058486</v>
      </c>
      <c r="H69" s="20" t="n">
        <v>2.4909081</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(2048.0/B74*100)</f>
        <v/>
      </c>
      <c r="D74" s="19" t="n">
        <v>405</v>
      </c>
      <c r="E74" s="18" t="n">
        <v>40.23401082</v>
      </c>
      <c r="F74" s="20" t="n">
        <v>2.69360711</v>
      </c>
      <c r="G74" s="18" t="n">
        <v>47.92571573</v>
      </c>
      <c r="H74" s="20" t="n">
        <v>2.56021325</v>
      </c>
      <c r="I74" s="18" t="s">
        <v>349</v>
      </c>
      <c r="J74" s="20" t="s">
        <v>349</v>
      </c>
      <c r="K74" s="18" t="n">
        <v>9.325864449999999</v>
      </c>
      <c r="L74" s="20" t="n">
        <v>1.64109637</v>
      </c>
      <c r="M74" s="18" t="n">
        <v>0</v>
      </c>
      <c r="N74" s="20" t="n">
        <v>0</v>
      </c>
      <c r="O74" s="18" t="n">
        <v>0</v>
      </c>
      <c r="P74" s="20" t="n">
        <v>0</v>
      </c>
      <c r="Q74" s="18" t="n">
        <v>2.51440899</v>
      </c>
      <c r="R74" s="20" t="n">
        <v>0.76846328</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(2531.0/B78*100)</f>
        <v/>
      </c>
      <c r="D78" s="19" t="n">
        <v>509</v>
      </c>
      <c r="E78" s="18" t="n">
        <v>23.74531191</v>
      </c>
      <c r="F78" s="20" t="n">
        <v>2.04120093</v>
      </c>
      <c r="G78" s="18" t="n">
        <v>76.07081646</v>
      </c>
      <c r="H78" s="20" t="n">
        <v>2.02109365</v>
      </c>
      <c r="I78" s="18" t="s">
        <v>349</v>
      </c>
      <c r="J78" s="20" t="s">
        <v>349</v>
      </c>
      <c r="K78" s="18" t="n">
        <v>0</v>
      </c>
      <c r="L78" s="20" t="n">
        <v>0</v>
      </c>
      <c r="M78" s="18" t="n">
        <v>0</v>
      </c>
      <c r="N78" s="20" t="n">
        <v>0</v>
      </c>
      <c r="O78" s="18" t="n">
        <v>0</v>
      </c>
      <c r="P78" s="20" t="n">
        <v>0</v>
      </c>
      <c r="Q78" s="18" t="n">
        <v>0.18387163</v>
      </c>
      <c r="R78" s="20" t="n">
        <v>0.18496634</v>
      </c>
    </row>
    <row customHeight="1" ht="25" r="79" spans="1:18">
      <c r="A79" s="15" t="s">
        <v>421</v>
      </c>
      <c r="B79" s="17" t="n">
        <v>870</v>
      </c>
      <c r="C79" s="18">
        <f>(735.0/B79*100)</f>
        <v/>
      </c>
      <c r="D79" s="19" t="n">
        <v>135</v>
      </c>
      <c r="E79" s="18" t="n">
        <v>33.42300146</v>
      </c>
      <c r="F79" s="20" t="n">
        <v>4.16761025</v>
      </c>
      <c r="G79" s="18" t="n">
        <v>53.95470308</v>
      </c>
      <c r="H79" s="20" t="n">
        <v>5.0869574</v>
      </c>
      <c r="I79" s="18" t="s">
        <v>349</v>
      </c>
      <c r="J79" s="20" t="s">
        <v>349</v>
      </c>
      <c r="K79" s="18" t="n">
        <v>6.52942729</v>
      </c>
      <c r="L79" s="20" t="n">
        <v>2.53407107</v>
      </c>
      <c r="M79" s="18" t="n">
        <v>0</v>
      </c>
      <c r="N79" s="20" t="n">
        <v>0</v>
      </c>
      <c r="O79" s="18" t="n">
        <v>0</v>
      </c>
      <c r="P79" s="20" t="n">
        <v>0</v>
      </c>
      <c r="Q79" s="18" t="n">
        <v>6.09286816</v>
      </c>
      <c r="R79" s="20" t="n">
        <v>2.86697278</v>
      </c>
    </row>
    <row r="80" spans="1:18">
      <c r="A80" s="15" t="s">
        <v>422</v>
      </c>
      <c r="B80" s="17" t="n">
        <v>4043</v>
      </c>
      <c r="C80" s="18">
        <f>(3366.0/B80*100)</f>
        <v/>
      </c>
      <c r="D80" s="19" t="n">
        <v>677</v>
      </c>
      <c r="E80" s="18" t="n">
        <v>49.78510435</v>
      </c>
      <c r="F80" s="20" t="n">
        <v>3.05545949</v>
      </c>
      <c r="G80" s="18" t="n">
        <v>48.91878854</v>
      </c>
      <c r="H80" s="20" t="n">
        <v>3.12197447</v>
      </c>
      <c r="I80" s="18" t="s">
        <v>349</v>
      </c>
      <c r="J80" s="20" t="s">
        <v>349</v>
      </c>
      <c r="K80" s="18" t="n">
        <v>0</v>
      </c>
      <c r="L80" s="20" t="n">
        <v>0</v>
      </c>
      <c r="M80" s="18" t="n">
        <v>0</v>
      </c>
      <c r="N80" s="20" t="n">
        <v>0</v>
      </c>
      <c r="O80" s="18" t="n">
        <v>0</v>
      </c>
      <c r="P80" s="20" t="n">
        <v>0</v>
      </c>
      <c r="Q80" s="18" t="n">
        <v>1.29610711</v>
      </c>
      <c r="R80" s="20" t="n">
        <v>0.78561261</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579</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row>
    <row r="12" spans="1:20">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row>
    <row r="29" spans="1:20">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2691</v>
      </c>
      <c r="C44" s="18">
        <f>(2239.0/B44*100)</f>
        <v/>
      </c>
      <c r="D44" s="19" t="n">
        <v>452</v>
      </c>
      <c r="E44" s="18" t="n">
        <v>30.33484616</v>
      </c>
      <c r="F44" s="20" t="n">
        <v>2.22973331</v>
      </c>
      <c r="G44" s="18" t="n">
        <v>23.36261976</v>
      </c>
      <c r="H44" s="20" t="n">
        <v>1.99281982</v>
      </c>
      <c r="I44" s="18" t="n">
        <v>18.45058082</v>
      </c>
      <c r="J44" s="20" t="n">
        <v>1.76094246</v>
      </c>
      <c r="K44" s="18" t="s">
        <v>349</v>
      </c>
      <c r="L44" s="20" t="s">
        <v>349</v>
      </c>
      <c r="M44" s="18" t="n">
        <v>17.76465208</v>
      </c>
      <c r="N44" s="20" t="n">
        <v>1.99534592</v>
      </c>
      <c r="O44" s="18" t="n">
        <v>0</v>
      </c>
      <c r="P44" s="20" t="n">
        <v>0</v>
      </c>
      <c r="Q44" s="18" t="n">
        <v>0</v>
      </c>
      <c r="R44" s="20" t="n">
        <v>0</v>
      </c>
      <c r="S44" s="18" t="n">
        <v>10.08730118</v>
      </c>
      <c r="T44" s="20" t="n">
        <v>1.67615219</v>
      </c>
    </row>
    <row r="45" spans="1:20">
      <c r="A45" s="15" t="s">
        <v>387</v>
      </c>
      <c r="B45" s="17" t="n">
        <v>2670</v>
      </c>
      <c r="C45" s="18">
        <f>(2262.0/B45*100)</f>
        <v/>
      </c>
      <c r="D45" s="19" t="n">
        <v>408</v>
      </c>
      <c r="E45" s="18" t="n">
        <v>34.46663068</v>
      </c>
      <c r="F45" s="20" t="n">
        <v>2.27382095</v>
      </c>
      <c r="G45" s="18" t="n">
        <v>9.307874030000001</v>
      </c>
      <c r="H45" s="20" t="n">
        <v>1.70443086</v>
      </c>
      <c r="I45" s="18" t="n">
        <v>4.28110751</v>
      </c>
      <c r="J45" s="20" t="n">
        <v>0.99684315</v>
      </c>
      <c r="K45" s="18" t="s">
        <v>349</v>
      </c>
      <c r="L45" s="20" t="s">
        <v>349</v>
      </c>
      <c r="M45" s="18" t="n">
        <v>18.68990488</v>
      </c>
      <c r="N45" s="20" t="n">
        <v>1.85404036</v>
      </c>
      <c r="O45" s="18" t="n">
        <v>0</v>
      </c>
      <c r="P45" s="20" t="n">
        <v>0</v>
      </c>
      <c r="Q45" s="18" t="n">
        <v>0.59186944</v>
      </c>
      <c r="R45" s="20" t="n">
        <v>0.40418978</v>
      </c>
      <c r="S45" s="18" t="n">
        <v>32.66261346</v>
      </c>
      <c r="T45" s="20" t="n">
        <v>2.77571421</v>
      </c>
    </row>
    <row r="46" spans="1:20">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row>
    <row r="47" spans="1:20">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row>
    <row r="48" spans="1:20">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3331</v>
      </c>
      <c r="C49" s="18">
        <f>(2794.0/B49*100)</f>
        <v/>
      </c>
      <c r="D49" s="19" t="n">
        <v>537</v>
      </c>
      <c r="E49" s="18" t="n">
        <v>41.16503634</v>
      </c>
      <c r="F49" s="20" t="n">
        <v>2.58467203</v>
      </c>
      <c r="G49" s="18" t="n">
        <v>3.78185304</v>
      </c>
      <c r="H49" s="20" t="n">
        <v>0.89575128</v>
      </c>
      <c r="I49" s="18" t="n">
        <v>13.07035188</v>
      </c>
      <c r="J49" s="20" t="n">
        <v>1.97564856</v>
      </c>
      <c r="K49" s="18" t="s">
        <v>349</v>
      </c>
      <c r="L49" s="20" t="s">
        <v>349</v>
      </c>
      <c r="M49" s="18" t="n">
        <v>16.35055241</v>
      </c>
      <c r="N49" s="20" t="n">
        <v>1.88582851</v>
      </c>
      <c r="O49" s="18" t="n">
        <v>0</v>
      </c>
      <c r="P49" s="20" t="n">
        <v>0</v>
      </c>
      <c r="Q49" s="18" t="n">
        <v>0</v>
      </c>
      <c r="R49" s="20" t="n">
        <v>0</v>
      </c>
      <c r="S49" s="18" t="n">
        <v>25.63220633</v>
      </c>
      <c r="T49" s="20" t="n">
        <v>2.28868502</v>
      </c>
    </row>
    <row r="50" spans="1:20">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row>
    <row r="51" spans="1:20">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row>
    <row r="52" spans="1:20">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row>
    <row r="54" spans="1:20">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row>
    <row r="55" spans="1:20">
      <c r="A55" s="15" t="s">
        <v>397</v>
      </c>
      <c r="B55" s="17" t="n">
        <v>2557</v>
      </c>
      <c r="C55" s="18">
        <f>(2122.0/B55*100)</f>
        <v/>
      </c>
      <c r="D55" s="19" t="n">
        <v>435</v>
      </c>
      <c r="E55" s="18" t="n">
        <v>20.83897352</v>
      </c>
      <c r="F55" s="20" t="n">
        <v>1.78255455</v>
      </c>
      <c r="G55" s="18" t="n">
        <v>9.94393176</v>
      </c>
      <c r="H55" s="20" t="n">
        <v>1.64750946</v>
      </c>
      <c r="I55" s="18" t="n">
        <v>19.14935924</v>
      </c>
      <c r="J55" s="20" t="n">
        <v>1.82923092</v>
      </c>
      <c r="K55" s="18" t="s">
        <v>349</v>
      </c>
      <c r="L55" s="20" t="s">
        <v>349</v>
      </c>
      <c r="M55" s="18" t="n">
        <v>20.71700977</v>
      </c>
      <c r="N55" s="20" t="n">
        <v>2.08249362</v>
      </c>
      <c r="O55" s="18" t="n">
        <v>0</v>
      </c>
      <c r="P55" s="20" t="n">
        <v>0</v>
      </c>
      <c r="Q55" s="18" t="n">
        <v>0</v>
      </c>
      <c r="R55" s="20" t="n">
        <v>0</v>
      </c>
      <c r="S55" s="18" t="n">
        <v>29.35072571</v>
      </c>
      <c r="T55" s="20" t="n">
        <v>2.56494727</v>
      </c>
    </row>
    <row r="56" spans="1:20">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3343</v>
      </c>
      <c r="C57" s="18">
        <f>(2817.0/B57*100)</f>
        <v/>
      </c>
      <c r="D57" s="19" t="n">
        <v>526</v>
      </c>
      <c r="E57" s="18" t="n">
        <v>67.91841778</v>
      </c>
      <c r="F57" s="20" t="n">
        <v>2.57819015</v>
      </c>
      <c r="G57" s="18" t="n">
        <v>6.68001908</v>
      </c>
      <c r="H57" s="20" t="n">
        <v>1.14242406</v>
      </c>
      <c r="I57" s="18" t="n">
        <v>10.96447877</v>
      </c>
      <c r="J57" s="20" t="n">
        <v>1.55944638</v>
      </c>
      <c r="K57" s="18" t="s">
        <v>349</v>
      </c>
      <c r="L57" s="20" t="s">
        <v>349</v>
      </c>
      <c r="M57" s="18" t="n">
        <v>6.00930973</v>
      </c>
      <c r="N57" s="20" t="n">
        <v>1.42661206</v>
      </c>
      <c r="O57" s="18" t="n">
        <v>0</v>
      </c>
      <c r="P57" s="20" t="n">
        <v>0</v>
      </c>
      <c r="Q57" s="18" t="n">
        <v>0</v>
      </c>
      <c r="R57" s="20" t="n">
        <v>0</v>
      </c>
      <c r="S57" s="18" t="n">
        <v>8.427774640000001</v>
      </c>
      <c r="T57" s="20" t="n">
        <v>1.24514581</v>
      </c>
    </row>
    <row r="58" spans="1:20">
      <c r="A58" s="15" t="s">
        <v>400</v>
      </c>
      <c r="B58" s="17" t="n">
        <v>3737</v>
      </c>
      <c r="C58" s="18">
        <f>(3129.0/B58*100)</f>
        <v/>
      </c>
      <c r="D58" s="19" t="n">
        <v>608</v>
      </c>
      <c r="E58" s="18" t="n">
        <v>60.13839128</v>
      </c>
      <c r="F58" s="20" t="n">
        <v>2.62327135</v>
      </c>
      <c r="G58" s="18" t="n">
        <v>6.69044246</v>
      </c>
      <c r="H58" s="20" t="n">
        <v>1.3971642</v>
      </c>
      <c r="I58" s="18" t="n">
        <v>16.00869593</v>
      </c>
      <c r="J58" s="20" t="n">
        <v>1.98835967</v>
      </c>
      <c r="K58" s="18" t="s">
        <v>349</v>
      </c>
      <c r="L58" s="20" t="s">
        <v>349</v>
      </c>
      <c r="M58" s="18" t="n">
        <v>6.65994074</v>
      </c>
      <c r="N58" s="20" t="n">
        <v>1.20596735</v>
      </c>
      <c r="O58" s="18" t="n">
        <v>0</v>
      </c>
      <c r="P58" s="20" t="n">
        <v>0</v>
      </c>
      <c r="Q58" s="18" t="n">
        <v>0</v>
      </c>
      <c r="R58" s="20" t="n">
        <v>0</v>
      </c>
      <c r="S58" s="18" t="n">
        <v>10.50252959</v>
      </c>
      <c r="T58" s="20" t="n">
        <v>1.41480807</v>
      </c>
    </row>
    <row r="59" spans="1:20">
      <c r="A59" s="15" t="s">
        <v>401</v>
      </c>
      <c r="B59" s="17" t="n">
        <v>2278</v>
      </c>
      <c r="C59" s="18">
        <f>(1870.0/B59*100)</f>
        <v/>
      </c>
      <c r="D59" s="19" t="n">
        <v>408</v>
      </c>
      <c r="E59" s="18" t="n">
        <v>64.19554672</v>
      </c>
      <c r="F59" s="20" t="n">
        <v>3.04179966</v>
      </c>
      <c r="G59" s="18" t="n">
        <v>4.21721382</v>
      </c>
      <c r="H59" s="20" t="n">
        <v>1.11875459</v>
      </c>
      <c r="I59" s="18" t="n">
        <v>4.28018216</v>
      </c>
      <c r="J59" s="20" t="n">
        <v>1.36640523</v>
      </c>
      <c r="K59" s="18" t="s">
        <v>349</v>
      </c>
      <c r="L59" s="20" t="s">
        <v>349</v>
      </c>
      <c r="M59" s="18" t="n">
        <v>10.204917</v>
      </c>
      <c r="N59" s="20" t="n">
        <v>1.55239719</v>
      </c>
      <c r="O59" s="18" t="n">
        <v>0.27979747</v>
      </c>
      <c r="P59" s="20" t="n">
        <v>0.28155886</v>
      </c>
      <c r="Q59" s="18" t="n">
        <v>0</v>
      </c>
      <c r="R59" s="20" t="n">
        <v>0</v>
      </c>
      <c r="S59" s="18" t="n">
        <v>16.82234283</v>
      </c>
      <c r="T59" s="20" t="n">
        <v>2.11562898</v>
      </c>
    </row>
    <row r="60" spans="1:20">
      <c r="A60" s="15" t="s">
        <v>402</v>
      </c>
      <c r="B60" s="17" t="n">
        <v>2451</v>
      </c>
      <c r="C60" s="18">
        <f>(2052.0/B60*100)</f>
        <v/>
      </c>
      <c r="D60" s="19" t="n">
        <v>399</v>
      </c>
      <c r="E60" s="18" t="n">
        <v>30.81600941</v>
      </c>
      <c r="F60" s="20" t="n">
        <v>2.81229639</v>
      </c>
      <c r="G60" s="18" t="n">
        <v>4.8745013</v>
      </c>
      <c r="H60" s="20" t="n">
        <v>1.09710581</v>
      </c>
      <c r="I60" s="18" t="n">
        <v>19.66348392</v>
      </c>
      <c r="J60" s="20" t="n">
        <v>2.09207947</v>
      </c>
      <c r="K60" s="18" t="s">
        <v>349</v>
      </c>
      <c r="L60" s="20" t="s">
        <v>349</v>
      </c>
      <c r="M60" s="18" t="n">
        <v>26.42685927</v>
      </c>
      <c r="N60" s="20" t="n">
        <v>2.61163983</v>
      </c>
      <c r="O60" s="18" t="n">
        <v>0.27717533</v>
      </c>
      <c r="P60" s="20" t="n">
        <v>0.26078052</v>
      </c>
      <c r="Q60" s="18" t="n">
        <v>0</v>
      </c>
      <c r="R60" s="20" t="n">
        <v>0</v>
      </c>
      <c r="S60" s="18" t="n">
        <v>17.94197078</v>
      </c>
      <c r="T60" s="20" t="n">
        <v>2.3844317</v>
      </c>
    </row>
    <row r="61" spans="1:20">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2511</v>
      </c>
      <c r="C63" s="18">
        <f>(2106.0/B63*100)</f>
        <v/>
      </c>
      <c r="D63" s="19" t="n">
        <v>405</v>
      </c>
      <c r="E63" s="18" t="n">
        <v>26.63430068</v>
      </c>
      <c r="F63" s="20" t="n">
        <v>2.41062962</v>
      </c>
      <c r="G63" s="18" t="n">
        <v>4.62369599</v>
      </c>
      <c r="H63" s="20" t="n">
        <v>1.28857096</v>
      </c>
      <c r="I63" s="18" t="n">
        <v>11.06795842</v>
      </c>
      <c r="J63" s="20" t="n">
        <v>1.62898604</v>
      </c>
      <c r="K63" s="18" t="s">
        <v>349</v>
      </c>
      <c r="L63" s="20" t="s">
        <v>349</v>
      </c>
      <c r="M63" s="18" t="n">
        <v>34.29891435</v>
      </c>
      <c r="N63" s="20" t="n">
        <v>2.5861106</v>
      </c>
      <c r="O63" s="18" t="n">
        <v>0</v>
      </c>
      <c r="P63" s="20" t="n">
        <v>0</v>
      </c>
      <c r="Q63" s="18" t="n">
        <v>0</v>
      </c>
      <c r="R63" s="20" t="n">
        <v>0</v>
      </c>
      <c r="S63" s="18" t="n">
        <v>23.37513056</v>
      </c>
      <c r="T63" s="20" t="n">
        <v>2.3481587</v>
      </c>
    </row>
    <row r="64" spans="1:20">
      <c r="A64" s="15" t="s">
        <v>406</v>
      </c>
      <c r="B64" s="17" t="n">
        <v>1790</v>
      </c>
      <c r="C64" s="18">
        <f>(1495.0/B64*100)</f>
        <v/>
      </c>
      <c r="D64" s="19" t="n">
        <v>295</v>
      </c>
      <c r="E64" s="18" t="n">
        <v>33.79094173</v>
      </c>
      <c r="F64" s="20" t="n">
        <v>2.72956819</v>
      </c>
      <c r="G64" s="18" t="n">
        <v>8.261127249999999</v>
      </c>
      <c r="H64" s="20" t="n">
        <v>1.60732258</v>
      </c>
      <c r="I64" s="18" t="n">
        <v>29.69605458</v>
      </c>
      <c r="J64" s="20" t="n">
        <v>2.32765588</v>
      </c>
      <c r="K64" s="18" t="s">
        <v>349</v>
      </c>
      <c r="L64" s="20" t="s">
        <v>349</v>
      </c>
      <c r="M64" s="18" t="n">
        <v>9.26320383</v>
      </c>
      <c r="N64" s="20" t="n">
        <v>1.88618751</v>
      </c>
      <c r="O64" s="18" t="n">
        <v>0</v>
      </c>
      <c r="P64" s="20" t="n">
        <v>0</v>
      </c>
      <c r="Q64" s="18" t="n">
        <v>0</v>
      </c>
      <c r="R64" s="20" t="n">
        <v>0</v>
      </c>
      <c r="S64" s="18" t="n">
        <v>18.98867261</v>
      </c>
      <c r="T64" s="20" t="n">
        <v>2.35528465</v>
      </c>
    </row>
    <row r="65" spans="1:20">
      <c r="A65" s="15" t="s">
        <v>407</v>
      </c>
      <c r="B65" s="17" t="n">
        <v>2634</v>
      </c>
      <c r="C65" s="18">
        <f>(2201.0/B65*100)</f>
        <v/>
      </c>
      <c r="D65" s="19" t="n">
        <v>433</v>
      </c>
      <c r="E65" s="18" t="n">
        <v>26.88391014</v>
      </c>
      <c r="F65" s="20" t="n">
        <v>2.3320724</v>
      </c>
      <c r="G65" s="18" t="n">
        <v>6.56349871</v>
      </c>
      <c r="H65" s="20" t="n">
        <v>1.279859</v>
      </c>
      <c r="I65" s="18" t="n">
        <v>19.32573876</v>
      </c>
      <c r="J65" s="20" t="n">
        <v>2.14188197</v>
      </c>
      <c r="K65" s="18" t="s">
        <v>349</v>
      </c>
      <c r="L65" s="20" t="s">
        <v>349</v>
      </c>
      <c r="M65" s="18" t="n">
        <v>21.74953404</v>
      </c>
      <c r="N65" s="20" t="n">
        <v>2.4772805</v>
      </c>
      <c r="O65" s="18" t="n">
        <v>0</v>
      </c>
      <c r="P65" s="20" t="n">
        <v>0</v>
      </c>
      <c r="Q65" s="18" t="n">
        <v>0</v>
      </c>
      <c r="R65" s="20" t="n">
        <v>0</v>
      </c>
      <c r="S65" s="18" t="n">
        <v>25.47731835</v>
      </c>
      <c r="T65" s="20" t="n">
        <v>1.95496984</v>
      </c>
    </row>
    <row r="66" spans="1:20">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row>
    <row r="68" spans="1:20">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2466</v>
      </c>
      <c r="C69" s="18">
        <f>(2040.0/B69*100)</f>
        <v/>
      </c>
      <c r="D69" s="19" t="n">
        <v>426</v>
      </c>
      <c r="E69" s="18" t="n">
        <v>49.1410557</v>
      </c>
      <c r="F69" s="20" t="n">
        <v>2.58514662</v>
      </c>
      <c r="G69" s="18" t="n">
        <v>22.71195757</v>
      </c>
      <c r="H69" s="20" t="n">
        <v>2.05915178</v>
      </c>
      <c r="I69" s="18" t="n">
        <v>28.14698673</v>
      </c>
      <c r="J69" s="20" t="n">
        <v>2.26539256</v>
      </c>
      <c r="K69" s="18" t="s">
        <v>349</v>
      </c>
      <c r="L69" s="20" t="s">
        <v>349</v>
      </c>
      <c r="M69" s="18" t="n">
        <v>0</v>
      </c>
      <c r="N69" s="20" t="n">
        <v>0</v>
      </c>
      <c r="O69" s="18" t="n">
        <v>0</v>
      </c>
      <c r="P69" s="20" t="n">
        <v>0</v>
      </c>
      <c r="Q69" s="18" t="n">
        <v>0</v>
      </c>
      <c r="R69" s="20" t="n">
        <v>0</v>
      </c>
      <c r="S69" s="18" t="n">
        <v>0</v>
      </c>
      <c r="T69" s="20" t="n">
        <v>0</v>
      </c>
    </row>
    <row r="70" spans="1:20">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2453</v>
      </c>
      <c r="C74" s="18">
        <f>(2048.0/B74*100)</f>
        <v/>
      </c>
      <c r="D74" s="19" t="n">
        <v>405</v>
      </c>
      <c r="E74" s="18" t="n">
        <v>35.25770323</v>
      </c>
      <c r="F74" s="20" t="n">
        <v>2.63581361</v>
      </c>
      <c r="G74" s="18" t="n">
        <v>4.40150925</v>
      </c>
      <c r="H74" s="20" t="n">
        <v>1.09628469</v>
      </c>
      <c r="I74" s="18" t="n">
        <v>23.2095326</v>
      </c>
      <c r="J74" s="20" t="n">
        <v>2.56240896</v>
      </c>
      <c r="K74" s="18" t="s">
        <v>349</v>
      </c>
      <c r="L74" s="20" t="s">
        <v>349</v>
      </c>
      <c r="M74" s="18" t="n">
        <v>17.32799241</v>
      </c>
      <c r="N74" s="20" t="n">
        <v>2.30043216</v>
      </c>
      <c r="O74" s="18" t="n">
        <v>0</v>
      </c>
      <c r="P74" s="20" t="n">
        <v>0</v>
      </c>
      <c r="Q74" s="18" t="n">
        <v>0</v>
      </c>
      <c r="R74" s="20" t="n">
        <v>0</v>
      </c>
      <c r="S74" s="18" t="n">
        <v>19.80326251</v>
      </c>
      <c r="T74" s="20" t="n">
        <v>2.33316062</v>
      </c>
    </row>
    <row r="75" spans="1:20">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row>
    <row r="76" spans="1:20">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row>
    <row r="77" spans="1:20">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row>
    <row r="78" spans="1:20">
      <c r="A78" s="15" t="s">
        <v>420</v>
      </c>
      <c r="B78" s="17" t="n">
        <v>3040</v>
      </c>
      <c r="C78" s="18">
        <f>(2531.0/B78*100)</f>
        <v/>
      </c>
      <c r="D78" s="19" t="n">
        <v>509</v>
      </c>
      <c r="E78" s="18" t="n">
        <v>29.51453101</v>
      </c>
      <c r="F78" s="20" t="n">
        <v>2.55224759</v>
      </c>
      <c r="G78" s="18" t="n">
        <v>16.78688471</v>
      </c>
      <c r="H78" s="20" t="n">
        <v>1.84528993</v>
      </c>
      <c r="I78" s="18" t="n">
        <v>51.81078341</v>
      </c>
      <c r="J78" s="20" t="n">
        <v>2.3590236</v>
      </c>
      <c r="K78" s="18" t="s">
        <v>349</v>
      </c>
      <c r="L78" s="20" t="s">
        <v>349</v>
      </c>
      <c r="M78" s="18" t="n">
        <v>0.76444978</v>
      </c>
      <c r="N78" s="20" t="n">
        <v>0.34700168</v>
      </c>
      <c r="O78" s="18" t="n">
        <v>0</v>
      </c>
      <c r="P78" s="20" t="n">
        <v>0</v>
      </c>
      <c r="Q78" s="18" t="n">
        <v>0</v>
      </c>
      <c r="R78" s="20" t="n">
        <v>0</v>
      </c>
      <c r="S78" s="18" t="n">
        <v>1.1233511</v>
      </c>
      <c r="T78" s="20" t="n">
        <v>0.38012554</v>
      </c>
    </row>
    <row customHeight="1" ht="25" r="79" spans="1:20">
      <c r="A79" s="15" t="s">
        <v>421</v>
      </c>
      <c r="B79" s="17" t="n">
        <v>870</v>
      </c>
      <c r="C79" s="18">
        <f>(735.0/B79*100)</f>
        <v/>
      </c>
      <c r="D79" s="19" t="n">
        <v>135</v>
      </c>
      <c r="E79" s="18" t="n">
        <v>27.22801834</v>
      </c>
      <c r="F79" s="20" t="n">
        <v>4.1412505</v>
      </c>
      <c r="G79" s="18" t="n">
        <v>9.63702241</v>
      </c>
      <c r="H79" s="20" t="n">
        <v>2.92220045</v>
      </c>
      <c r="I79" s="18" t="n">
        <v>24.34123226</v>
      </c>
      <c r="J79" s="20" t="n">
        <v>4.48083256</v>
      </c>
      <c r="K79" s="18" t="s">
        <v>349</v>
      </c>
      <c r="L79" s="20" t="s">
        <v>349</v>
      </c>
      <c r="M79" s="18" t="n">
        <v>15.96615343</v>
      </c>
      <c r="N79" s="20" t="n">
        <v>3.91808694</v>
      </c>
      <c r="O79" s="18" t="n">
        <v>0</v>
      </c>
      <c r="P79" s="20" t="n">
        <v>0</v>
      </c>
      <c r="Q79" s="18" t="n">
        <v>0</v>
      </c>
      <c r="R79" s="20" t="n">
        <v>0</v>
      </c>
      <c r="S79" s="18" t="n">
        <v>22.82757355</v>
      </c>
      <c r="T79" s="20" t="n">
        <v>3.92294312</v>
      </c>
    </row>
    <row r="80" spans="1:20">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(2239.0/B44*100)</f>
        <v/>
      </c>
      <c r="D44" s="19" t="n">
        <v>452</v>
      </c>
      <c r="E44" s="18" t="n">
        <v>62.87099057</v>
      </c>
      <c r="F44" s="20" t="n">
        <v>2.97890554</v>
      </c>
      <c r="G44" s="18" t="n">
        <v>7.87199024</v>
      </c>
      <c r="H44" s="20" t="n">
        <v>1.48460984</v>
      </c>
      <c r="I44" s="18" t="s">
        <v>349</v>
      </c>
      <c r="J44" s="20" t="s">
        <v>349</v>
      </c>
      <c r="K44" s="18" t="n">
        <v>29.25701919</v>
      </c>
      <c r="L44" s="20" t="n">
        <v>2.63219551</v>
      </c>
      <c r="M44" s="18" t="n">
        <v>0</v>
      </c>
      <c r="N44" s="20" t="n">
        <v>0</v>
      </c>
      <c r="O44" s="18" t="n">
        <v>0</v>
      </c>
      <c r="P44" s="20" t="n">
        <v>0</v>
      </c>
      <c r="Q44" s="18" t="n">
        <v>0</v>
      </c>
      <c r="R44" s="20" t="n">
        <v>0</v>
      </c>
    </row>
    <row r="45" spans="1:18">
      <c r="A45" s="15" t="s">
        <v>387</v>
      </c>
      <c r="B45" s="17" t="n">
        <v>2670</v>
      </c>
      <c r="C45" s="18">
        <f>(2262.0/B45*100)</f>
        <v/>
      </c>
      <c r="D45" s="19" t="n">
        <v>408</v>
      </c>
      <c r="E45" s="18" t="n">
        <v>75.49169428</v>
      </c>
      <c r="F45" s="20" t="n">
        <v>2.23182771</v>
      </c>
      <c r="G45" s="18" t="n">
        <v>3.70890478</v>
      </c>
      <c r="H45" s="20" t="n">
        <v>1.23424287</v>
      </c>
      <c r="I45" s="18" t="s">
        <v>349</v>
      </c>
      <c r="J45" s="20" t="s">
        <v>349</v>
      </c>
      <c r="K45" s="18" t="n">
        <v>20.44307989</v>
      </c>
      <c r="L45" s="20" t="n">
        <v>2.0046382</v>
      </c>
      <c r="M45" s="18" t="n">
        <v>0</v>
      </c>
      <c r="N45" s="20" t="n">
        <v>0</v>
      </c>
      <c r="O45" s="18" t="n">
        <v>0.35632104</v>
      </c>
      <c r="P45" s="20" t="n">
        <v>0.33774757</v>
      </c>
      <c r="Q45" s="18" t="n">
        <v>0</v>
      </c>
      <c r="R45" s="20" t="n">
        <v>0</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(2794.0/B49*100)</f>
        <v/>
      </c>
      <c r="D49" s="19" t="n">
        <v>537</v>
      </c>
      <c r="E49" s="18" t="n">
        <v>74.73293527</v>
      </c>
      <c r="F49" s="20" t="n">
        <v>2.26687578</v>
      </c>
      <c r="G49" s="18" t="n">
        <v>4.64870338</v>
      </c>
      <c r="H49" s="20" t="n">
        <v>1.17509325</v>
      </c>
      <c r="I49" s="18" t="s">
        <v>349</v>
      </c>
      <c r="J49" s="20" t="s">
        <v>349</v>
      </c>
      <c r="K49" s="18" t="n">
        <v>20.5036681</v>
      </c>
      <c r="L49" s="20" t="n">
        <v>2.05364777</v>
      </c>
      <c r="M49" s="18" t="n">
        <v>0</v>
      </c>
      <c r="N49" s="20" t="n">
        <v>0</v>
      </c>
      <c r="O49" s="18" t="n">
        <v>0.11469325</v>
      </c>
      <c r="P49" s="20" t="n">
        <v>0.11571573</v>
      </c>
      <c r="Q49" s="18" t="n">
        <v>0</v>
      </c>
      <c r="R49" s="20" t="n">
        <v>0</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(2122.0/B55*100)</f>
        <v/>
      </c>
      <c r="D55" s="19" t="n">
        <v>435</v>
      </c>
      <c r="E55" s="18" t="n">
        <v>71.75024147000001</v>
      </c>
      <c r="F55" s="20" t="n">
        <v>1.99290331</v>
      </c>
      <c r="G55" s="18" t="n">
        <v>3.42084752</v>
      </c>
      <c r="H55" s="20" t="n">
        <v>0.94294442</v>
      </c>
      <c r="I55" s="18" t="s">
        <v>349</v>
      </c>
      <c r="J55" s="20" t="s">
        <v>349</v>
      </c>
      <c r="K55" s="18" t="n">
        <v>24.82891101</v>
      </c>
      <c r="L55" s="20" t="n">
        <v>2.11081806</v>
      </c>
      <c r="M55" s="18" t="n">
        <v>0</v>
      </c>
      <c r="N55" s="20" t="n">
        <v>0</v>
      </c>
      <c r="O55" s="18" t="n">
        <v>0</v>
      </c>
      <c r="P55" s="20" t="n">
        <v>0</v>
      </c>
      <c r="Q55" s="18" t="n">
        <v>0</v>
      </c>
      <c r="R55" s="20" t="n">
        <v>0</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(2817.0/B57*100)</f>
        <v/>
      </c>
      <c r="D57" s="19" t="n">
        <v>526</v>
      </c>
      <c r="E57" s="18" t="n">
        <v>86.24044225</v>
      </c>
      <c r="F57" s="20" t="n">
        <v>1.7739606</v>
      </c>
      <c r="G57" s="18" t="n">
        <v>4.66728692</v>
      </c>
      <c r="H57" s="20" t="n">
        <v>1.1442231</v>
      </c>
      <c r="I57" s="18" t="s">
        <v>349</v>
      </c>
      <c r="J57" s="20" t="s">
        <v>349</v>
      </c>
      <c r="K57" s="18" t="n">
        <v>9.09227082</v>
      </c>
      <c r="L57" s="20" t="n">
        <v>1.69396982</v>
      </c>
      <c r="M57" s="18" t="n">
        <v>0</v>
      </c>
      <c r="N57" s="20" t="n">
        <v>0</v>
      </c>
      <c r="O57" s="18" t="n">
        <v>0</v>
      </c>
      <c r="P57" s="20" t="n">
        <v>0</v>
      </c>
      <c r="Q57" s="18" t="n">
        <v>0</v>
      </c>
      <c r="R57" s="20" t="n">
        <v>0</v>
      </c>
    </row>
    <row r="58" spans="1:18">
      <c r="A58" s="15" t="s">
        <v>400</v>
      </c>
      <c r="B58" s="17" t="n">
        <v>3737</v>
      </c>
      <c r="C58" s="18">
        <f>(3129.0/B58*100)</f>
        <v/>
      </c>
      <c r="D58" s="19" t="n">
        <v>608</v>
      </c>
      <c r="E58" s="18" t="n">
        <v>86.86098701</v>
      </c>
      <c r="F58" s="20" t="n">
        <v>1.5109367</v>
      </c>
      <c r="G58" s="18" t="n">
        <v>3.60734983</v>
      </c>
      <c r="H58" s="20" t="n">
        <v>0.73277645</v>
      </c>
      <c r="I58" s="18" t="s">
        <v>349</v>
      </c>
      <c r="J58" s="20" t="s">
        <v>349</v>
      </c>
      <c r="K58" s="18" t="n">
        <v>9.531663160000001</v>
      </c>
      <c r="L58" s="20" t="n">
        <v>1.38311368</v>
      </c>
      <c r="M58" s="18" t="n">
        <v>0</v>
      </c>
      <c r="N58" s="20" t="n">
        <v>0</v>
      </c>
      <c r="O58" s="18" t="n">
        <v>0</v>
      </c>
      <c r="P58" s="20" t="n">
        <v>0</v>
      </c>
      <c r="Q58" s="18" t="n">
        <v>0</v>
      </c>
      <c r="R58" s="20" t="n">
        <v>0</v>
      </c>
    </row>
    <row r="59" spans="1:18">
      <c r="A59" s="15" t="s">
        <v>401</v>
      </c>
      <c r="B59" s="17" t="n">
        <v>2278</v>
      </c>
      <c r="C59" s="18">
        <f>(1870.0/B59*100)</f>
        <v/>
      </c>
      <c r="D59" s="19" t="n">
        <v>408</v>
      </c>
      <c r="E59" s="18" t="n">
        <v>81.6064614</v>
      </c>
      <c r="F59" s="20" t="n">
        <v>2.06824045</v>
      </c>
      <c r="G59" s="18" t="n">
        <v>4.19198733</v>
      </c>
      <c r="H59" s="20" t="n">
        <v>1.2773432</v>
      </c>
      <c r="I59" s="18" t="s">
        <v>349</v>
      </c>
      <c r="J59" s="20" t="s">
        <v>349</v>
      </c>
      <c r="K59" s="18" t="n">
        <v>13.9217538</v>
      </c>
      <c r="L59" s="20" t="n">
        <v>1.90662691</v>
      </c>
      <c r="M59" s="18" t="n">
        <v>0.27979747</v>
      </c>
      <c r="N59" s="20" t="n">
        <v>0.28155886</v>
      </c>
      <c r="O59" s="18" t="n">
        <v>0</v>
      </c>
      <c r="P59" s="20" t="n">
        <v>0</v>
      </c>
      <c r="Q59" s="18" t="n">
        <v>0</v>
      </c>
      <c r="R59" s="20" t="n">
        <v>0</v>
      </c>
    </row>
    <row r="60" spans="1:18">
      <c r="A60" s="15" t="s">
        <v>402</v>
      </c>
      <c r="B60" s="17" t="n">
        <v>2451</v>
      </c>
      <c r="C60" s="18">
        <f>(2052.0/B60*100)</f>
        <v/>
      </c>
      <c r="D60" s="19" t="n">
        <v>399</v>
      </c>
      <c r="E60" s="18" t="n">
        <v>61.50835911</v>
      </c>
      <c r="F60" s="20" t="n">
        <v>2.74457881</v>
      </c>
      <c r="G60" s="18" t="n">
        <v>4.72208871</v>
      </c>
      <c r="H60" s="20" t="n">
        <v>1.02806756</v>
      </c>
      <c r="I60" s="18" t="s">
        <v>349</v>
      </c>
      <c r="J60" s="20" t="s">
        <v>349</v>
      </c>
      <c r="K60" s="18" t="n">
        <v>33.76955218</v>
      </c>
      <c r="L60" s="20" t="n">
        <v>2.71946627</v>
      </c>
      <c r="M60" s="18" t="n">
        <v>0</v>
      </c>
      <c r="N60" s="20" t="n">
        <v>0</v>
      </c>
      <c r="O60" s="18" t="n">
        <v>0</v>
      </c>
      <c r="P60" s="20" t="n">
        <v>0</v>
      </c>
      <c r="Q60" s="18" t="n">
        <v>0</v>
      </c>
      <c r="R60" s="20" t="n">
        <v>0</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(2106.0/B63*100)</f>
        <v/>
      </c>
      <c r="D63" s="19" t="n">
        <v>405</v>
      </c>
      <c r="E63" s="18" t="n">
        <v>54.99127697</v>
      </c>
      <c r="F63" s="20" t="n">
        <v>2.76591916</v>
      </c>
      <c r="G63" s="18" t="n">
        <v>2.82383645</v>
      </c>
      <c r="H63" s="20" t="n">
        <v>0.96739956</v>
      </c>
      <c r="I63" s="18" t="s">
        <v>349</v>
      </c>
      <c r="J63" s="20" t="s">
        <v>349</v>
      </c>
      <c r="K63" s="18" t="n">
        <v>42.18488658</v>
      </c>
      <c r="L63" s="20" t="n">
        <v>2.83396511</v>
      </c>
      <c r="M63" s="18" t="n">
        <v>0</v>
      </c>
      <c r="N63" s="20" t="n">
        <v>0</v>
      </c>
      <c r="O63" s="18" t="n">
        <v>0</v>
      </c>
      <c r="P63" s="20" t="n">
        <v>0</v>
      </c>
      <c r="Q63" s="18" t="n">
        <v>0</v>
      </c>
      <c r="R63" s="20" t="n">
        <v>0</v>
      </c>
    </row>
    <row r="64" spans="1:18">
      <c r="A64" s="15" t="s">
        <v>406</v>
      </c>
      <c r="B64" s="17" t="n">
        <v>1790</v>
      </c>
      <c r="C64" s="18">
        <f>(1495.0/B64*100)</f>
        <v/>
      </c>
      <c r="D64" s="19" t="n">
        <v>295</v>
      </c>
      <c r="E64" s="18" t="n">
        <v>64.56889818000001</v>
      </c>
      <c r="F64" s="20" t="n">
        <v>2.69950859</v>
      </c>
      <c r="G64" s="18" t="n">
        <v>22.97656907</v>
      </c>
      <c r="H64" s="20" t="n">
        <v>2.42845065</v>
      </c>
      <c r="I64" s="18" t="s">
        <v>349</v>
      </c>
      <c r="J64" s="20" t="s">
        <v>349</v>
      </c>
      <c r="K64" s="18" t="n">
        <v>12.45453275</v>
      </c>
      <c r="L64" s="20" t="n">
        <v>2.06319897</v>
      </c>
      <c r="M64" s="18" t="n">
        <v>0</v>
      </c>
      <c r="N64" s="20" t="n">
        <v>0</v>
      </c>
      <c r="O64" s="18" t="n">
        <v>0</v>
      </c>
      <c r="P64" s="20" t="n">
        <v>0</v>
      </c>
      <c r="Q64" s="18" t="n">
        <v>0</v>
      </c>
      <c r="R64" s="20" t="n">
        <v>0</v>
      </c>
    </row>
    <row r="65" spans="1:18">
      <c r="A65" s="15" t="s">
        <v>407</v>
      </c>
      <c r="B65" s="17" t="n">
        <v>2634</v>
      </c>
      <c r="C65" s="18">
        <f>(2201.0/B65*100)</f>
        <v/>
      </c>
      <c r="D65" s="19" t="n">
        <v>433</v>
      </c>
      <c r="E65" s="18" t="n">
        <v>63.9433907</v>
      </c>
      <c r="F65" s="20" t="n">
        <v>2.379126</v>
      </c>
      <c r="G65" s="18" t="n">
        <v>6.85110224</v>
      </c>
      <c r="H65" s="20" t="n">
        <v>1.1486735</v>
      </c>
      <c r="I65" s="18" t="s">
        <v>349</v>
      </c>
      <c r="J65" s="20" t="s">
        <v>349</v>
      </c>
      <c r="K65" s="18" t="n">
        <v>29.20550706</v>
      </c>
      <c r="L65" s="20" t="n">
        <v>2.48888869</v>
      </c>
      <c r="M65" s="18" t="n">
        <v>0</v>
      </c>
      <c r="N65" s="20" t="n">
        <v>0</v>
      </c>
      <c r="O65" s="18" t="n">
        <v>0</v>
      </c>
      <c r="P65" s="20" t="n">
        <v>0</v>
      </c>
      <c r="Q65" s="18" t="n">
        <v>0</v>
      </c>
      <c r="R65" s="20" t="n">
        <v>0</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(2040.0/B69*100)</f>
        <v/>
      </c>
      <c r="D69" s="19" t="n">
        <v>426</v>
      </c>
      <c r="E69" s="18" t="n">
        <v>78.10779239999999</v>
      </c>
      <c r="F69" s="20" t="n">
        <v>1.73063368</v>
      </c>
      <c r="G69" s="18" t="n">
        <v>21.21097684</v>
      </c>
      <c r="H69" s="20" t="n">
        <v>1.68012804</v>
      </c>
      <c r="I69" s="18" t="s">
        <v>349</v>
      </c>
      <c r="J69" s="20" t="s">
        <v>349</v>
      </c>
      <c r="K69" s="18" t="n">
        <v>0.68123076</v>
      </c>
      <c r="L69" s="20" t="n">
        <v>0.22228391</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(2048.0/B74*100)</f>
        <v/>
      </c>
      <c r="D74" s="19" t="n">
        <v>405</v>
      </c>
      <c r="E74" s="18" t="n">
        <v>70.00621547</v>
      </c>
      <c r="F74" s="20" t="n">
        <v>2.48245595</v>
      </c>
      <c r="G74" s="18" t="n">
        <v>9.31023143</v>
      </c>
      <c r="H74" s="20" t="n">
        <v>1.60566281</v>
      </c>
      <c r="I74" s="18" t="s">
        <v>349</v>
      </c>
      <c r="J74" s="20" t="s">
        <v>349</v>
      </c>
      <c r="K74" s="18" t="n">
        <v>20.6835531</v>
      </c>
      <c r="L74" s="20" t="n">
        <v>2.49647543</v>
      </c>
      <c r="M74" s="18" t="n">
        <v>0</v>
      </c>
      <c r="N74" s="20" t="n">
        <v>0</v>
      </c>
      <c r="O74" s="18" t="n">
        <v>0</v>
      </c>
      <c r="P74" s="20" t="n">
        <v>0</v>
      </c>
      <c r="Q74" s="18" t="n">
        <v>0</v>
      </c>
      <c r="R74" s="20" t="n">
        <v>0</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(2531.0/B78*100)</f>
        <v/>
      </c>
      <c r="D78" s="19" t="n">
        <v>509</v>
      </c>
      <c r="E78" s="18" t="n">
        <v>70.92491396</v>
      </c>
      <c r="F78" s="20" t="n">
        <v>2.102218</v>
      </c>
      <c r="G78" s="18" t="n">
        <v>27.8517063</v>
      </c>
      <c r="H78" s="20" t="n">
        <v>1.99550921</v>
      </c>
      <c r="I78" s="18" t="s">
        <v>349</v>
      </c>
      <c r="J78" s="20" t="s">
        <v>349</v>
      </c>
      <c r="K78" s="18" t="n">
        <v>1.22337974</v>
      </c>
      <c r="L78" s="20" t="n">
        <v>0.47742998</v>
      </c>
      <c r="M78" s="18" t="n">
        <v>0</v>
      </c>
      <c r="N78" s="20" t="n">
        <v>0</v>
      </c>
      <c r="O78" s="18" t="n">
        <v>0</v>
      </c>
      <c r="P78" s="20" t="n">
        <v>0</v>
      </c>
      <c r="Q78" s="18" t="n">
        <v>0</v>
      </c>
      <c r="R78" s="20" t="n">
        <v>0</v>
      </c>
    </row>
    <row customHeight="1" ht="25" r="79" spans="1:18">
      <c r="A79" s="15" t="s">
        <v>421</v>
      </c>
      <c r="B79" s="17" t="n">
        <v>870</v>
      </c>
      <c r="C79" s="18">
        <f>(735.0/B79*100)</f>
        <v/>
      </c>
      <c r="D79" s="19" t="n">
        <v>135</v>
      </c>
      <c r="E79" s="18" t="n">
        <v>71.17807858</v>
      </c>
      <c r="F79" s="20" t="n">
        <v>3.70140182</v>
      </c>
      <c r="G79" s="18" t="n">
        <v>2.18211807</v>
      </c>
      <c r="H79" s="20" t="n">
        <v>1.08773945</v>
      </c>
      <c r="I79" s="18" t="s">
        <v>349</v>
      </c>
      <c r="J79" s="20" t="s">
        <v>349</v>
      </c>
      <c r="K79" s="18" t="n">
        <v>26.63980336</v>
      </c>
      <c r="L79" s="20" t="n">
        <v>3.46032234</v>
      </c>
      <c r="M79" s="18" t="n">
        <v>0</v>
      </c>
      <c r="N79" s="20" t="n">
        <v>0</v>
      </c>
      <c r="O79" s="18" t="n">
        <v>0</v>
      </c>
      <c r="P79" s="20" t="n">
        <v>0</v>
      </c>
      <c r="Q79" s="18" t="n">
        <v>0</v>
      </c>
      <c r="R79" s="20" t="n">
        <v>0</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(2235.0/B44*100)</f>
        <v/>
      </c>
      <c r="D44" s="19" t="n">
        <v>456</v>
      </c>
      <c r="E44" s="18" t="n">
        <v>18.87843545</v>
      </c>
      <c r="F44" s="20" t="n">
        <v>2.15816952</v>
      </c>
      <c r="G44" s="18" t="n">
        <v>69.18247782</v>
      </c>
      <c r="H44" s="20" t="n">
        <v>2.55178988</v>
      </c>
      <c r="I44" s="18" t="s">
        <v>349</v>
      </c>
      <c r="J44" s="20" t="s">
        <v>349</v>
      </c>
      <c r="K44" s="18" t="n">
        <v>0.40735415</v>
      </c>
      <c r="L44" s="20" t="n">
        <v>0.28641345</v>
      </c>
      <c r="M44" s="18" t="n">
        <v>0</v>
      </c>
      <c r="N44" s="20" t="n">
        <v>0</v>
      </c>
      <c r="O44" s="18" t="n">
        <v>0</v>
      </c>
      <c r="P44" s="20" t="n">
        <v>0</v>
      </c>
      <c r="Q44" s="18" t="n">
        <v>11.53173258</v>
      </c>
      <c r="R44" s="20" t="n">
        <v>1.84063296</v>
      </c>
    </row>
    <row r="45" spans="1:18">
      <c r="A45" s="15" t="s">
        <v>387</v>
      </c>
      <c r="B45" s="17" t="n">
        <v>2670</v>
      </c>
      <c r="C45" s="18">
        <f>(2266.0/B45*100)</f>
        <v/>
      </c>
      <c r="D45" s="19" t="n">
        <v>404</v>
      </c>
      <c r="E45" s="18" t="n">
        <v>27.72816861</v>
      </c>
      <c r="F45" s="20" t="n">
        <v>2.80719469</v>
      </c>
      <c r="G45" s="18" t="n">
        <v>52.33980611</v>
      </c>
      <c r="H45" s="20" t="n">
        <v>2.98897464</v>
      </c>
      <c r="I45" s="18" t="s">
        <v>349</v>
      </c>
      <c r="J45" s="20" t="s">
        <v>349</v>
      </c>
      <c r="K45" s="18" t="n">
        <v>1.36659521</v>
      </c>
      <c r="L45" s="20" t="n">
        <v>0.5816101299999999</v>
      </c>
      <c r="M45" s="18" t="n">
        <v>0</v>
      </c>
      <c r="N45" s="20" t="n">
        <v>0</v>
      </c>
      <c r="O45" s="18" t="n">
        <v>0</v>
      </c>
      <c r="P45" s="20" t="n">
        <v>0</v>
      </c>
      <c r="Q45" s="18" t="n">
        <v>18.56543007</v>
      </c>
      <c r="R45" s="20" t="n">
        <v>1.89187597</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(2792.0/B49*100)</f>
        <v/>
      </c>
      <c r="D49" s="19" t="n">
        <v>539</v>
      </c>
      <c r="E49" s="18" t="n">
        <v>13.2369195</v>
      </c>
      <c r="F49" s="20" t="n">
        <v>1.88803448</v>
      </c>
      <c r="G49" s="18" t="n">
        <v>76.02185876</v>
      </c>
      <c r="H49" s="20" t="n">
        <v>2.32763507</v>
      </c>
      <c r="I49" s="18" t="s">
        <v>349</v>
      </c>
      <c r="J49" s="20" t="s">
        <v>349</v>
      </c>
      <c r="K49" s="18" t="n">
        <v>1.69805715</v>
      </c>
      <c r="L49" s="20" t="n">
        <v>0.70743798</v>
      </c>
      <c r="M49" s="18" t="n">
        <v>0</v>
      </c>
      <c r="N49" s="20" t="n">
        <v>0</v>
      </c>
      <c r="O49" s="18" t="n">
        <v>0</v>
      </c>
      <c r="P49" s="20" t="n">
        <v>0</v>
      </c>
      <c r="Q49" s="18" t="n">
        <v>9.04316459</v>
      </c>
      <c r="R49" s="20" t="n">
        <v>1.54892469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(2118.0/B55*100)</f>
        <v/>
      </c>
      <c r="D55" s="19" t="n">
        <v>439</v>
      </c>
      <c r="E55" s="18" t="n">
        <v>34.46896797</v>
      </c>
      <c r="F55" s="20" t="n">
        <v>2.85908819</v>
      </c>
      <c r="G55" s="18" t="n">
        <v>54.48787943</v>
      </c>
      <c r="H55" s="20" t="n">
        <v>3.04959605</v>
      </c>
      <c r="I55" s="18" t="s">
        <v>349</v>
      </c>
      <c r="J55" s="20" t="s">
        <v>349</v>
      </c>
      <c r="K55" s="18" t="n">
        <v>0.20474398</v>
      </c>
      <c r="L55" s="20" t="n">
        <v>0.20688065</v>
      </c>
      <c r="M55" s="18" t="n">
        <v>0.21416034</v>
      </c>
      <c r="N55" s="20" t="n">
        <v>0.21355321</v>
      </c>
      <c r="O55" s="18" t="n">
        <v>0</v>
      </c>
      <c r="P55" s="20" t="n">
        <v>0</v>
      </c>
      <c r="Q55" s="18" t="n">
        <v>10.62424827</v>
      </c>
      <c r="R55" s="20" t="n">
        <v>1.68258307</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(2789.0/B57*100)</f>
        <v/>
      </c>
      <c r="D57" s="19" t="n">
        <v>554</v>
      </c>
      <c r="E57" s="18" t="n">
        <v>28.10522851</v>
      </c>
      <c r="F57" s="20" t="n">
        <v>2.18321274</v>
      </c>
      <c r="G57" s="18" t="n">
        <v>68.43141155000001</v>
      </c>
      <c r="H57" s="20" t="n">
        <v>2.31628098</v>
      </c>
      <c r="I57" s="18" t="s">
        <v>349</v>
      </c>
      <c r="J57" s="20" t="s">
        <v>349</v>
      </c>
      <c r="K57" s="18" t="n">
        <v>0.60772899</v>
      </c>
      <c r="L57" s="20" t="n">
        <v>0.42281693</v>
      </c>
      <c r="M57" s="18" t="n">
        <v>0</v>
      </c>
      <c r="N57" s="20" t="n">
        <v>0</v>
      </c>
      <c r="O57" s="18" t="n">
        <v>0</v>
      </c>
      <c r="P57" s="20" t="n">
        <v>0</v>
      </c>
      <c r="Q57" s="18" t="n">
        <v>2.85563095</v>
      </c>
      <c r="R57" s="20" t="n">
        <v>0.6997162300000001</v>
      </c>
    </row>
    <row r="58" spans="1:18">
      <c r="A58" s="15" t="s">
        <v>400</v>
      </c>
      <c r="B58" s="17" t="n">
        <v>3737</v>
      </c>
      <c r="C58" s="18">
        <f>(3120.0/B58*100)</f>
        <v/>
      </c>
      <c r="D58" s="19" t="n">
        <v>617</v>
      </c>
      <c r="E58" s="18" t="n">
        <v>24.94857262</v>
      </c>
      <c r="F58" s="20" t="n">
        <v>2.09963477</v>
      </c>
      <c r="G58" s="18" t="n">
        <v>69.52284957000001</v>
      </c>
      <c r="H58" s="20" t="n">
        <v>2.17503317</v>
      </c>
      <c r="I58" s="18" t="s">
        <v>349</v>
      </c>
      <c r="J58" s="20" t="s">
        <v>349</v>
      </c>
      <c r="K58" s="18" t="n">
        <v>0.37755181</v>
      </c>
      <c r="L58" s="20" t="n">
        <v>0.26664634</v>
      </c>
      <c r="M58" s="18" t="n">
        <v>0</v>
      </c>
      <c r="N58" s="20" t="n">
        <v>0</v>
      </c>
      <c r="O58" s="18" t="n">
        <v>0</v>
      </c>
      <c r="P58" s="20" t="n">
        <v>0</v>
      </c>
      <c r="Q58" s="18" t="n">
        <v>5.151026</v>
      </c>
      <c r="R58" s="20" t="n">
        <v>1.35454601</v>
      </c>
    </row>
    <row r="59" spans="1:18">
      <c r="A59" s="15" t="s">
        <v>401</v>
      </c>
      <c r="B59" s="17" t="n">
        <v>2278</v>
      </c>
      <c r="C59" s="18">
        <f>(1920.0/B59*100)</f>
        <v/>
      </c>
      <c r="D59" s="19" t="n">
        <v>358</v>
      </c>
      <c r="E59" s="18" t="n">
        <v>40.33133098</v>
      </c>
      <c r="F59" s="20" t="n">
        <v>3.27644887</v>
      </c>
      <c r="G59" s="18" t="n">
        <v>48.07021706</v>
      </c>
      <c r="H59" s="20" t="n">
        <v>3.21974278</v>
      </c>
      <c r="I59" s="18" t="s">
        <v>349</v>
      </c>
      <c r="J59" s="20" t="s">
        <v>349</v>
      </c>
      <c r="K59" s="18" t="n">
        <v>0.11668069</v>
      </c>
      <c r="L59" s="20" t="n">
        <v>0.11638106</v>
      </c>
      <c r="M59" s="18" t="n">
        <v>0</v>
      </c>
      <c r="N59" s="20" t="n">
        <v>0</v>
      </c>
      <c r="O59" s="18" t="n">
        <v>0</v>
      </c>
      <c r="P59" s="20" t="n">
        <v>0</v>
      </c>
      <c r="Q59" s="18" t="n">
        <v>11.48177127</v>
      </c>
      <c r="R59" s="20" t="n">
        <v>2.17328966</v>
      </c>
    </row>
    <row r="60" spans="1:18">
      <c r="A60" s="15" t="s">
        <v>402</v>
      </c>
      <c r="B60" s="17" t="n">
        <v>2451</v>
      </c>
      <c r="C60" s="18">
        <f>(2043.0/B60*100)</f>
        <v/>
      </c>
      <c r="D60" s="19" t="n">
        <v>408</v>
      </c>
      <c r="E60" s="18" t="n">
        <v>21.55427038</v>
      </c>
      <c r="F60" s="20" t="n">
        <v>2.51466262</v>
      </c>
      <c r="G60" s="18" t="n">
        <v>61.74601284</v>
      </c>
      <c r="H60" s="20" t="n">
        <v>2.65636905</v>
      </c>
      <c r="I60" s="18" t="s">
        <v>349</v>
      </c>
      <c r="J60" s="20" t="s">
        <v>349</v>
      </c>
      <c r="K60" s="18" t="n">
        <v>0.84421846</v>
      </c>
      <c r="L60" s="20" t="n">
        <v>0.49379861</v>
      </c>
      <c r="M60" s="18" t="n">
        <v>0</v>
      </c>
      <c r="N60" s="20" t="n">
        <v>0</v>
      </c>
      <c r="O60" s="18" t="n">
        <v>0.29929063</v>
      </c>
      <c r="P60" s="20" t="n">
        <v>0.33935414</v>
      </c>
      <c r="Q60" s="18" t="n">
        <v>15.5562077</v>
      </c>
      <c r="R60" s="20" t="n">
        <v>1.85472576</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(2103.0/B63*100)</f>
        <v/>
      </c>
      <c r="D63" s="19" t="n">
        <v>408</v>
      </c>
      <c r="E63" s="18" t="n">
        <v>17.2873659</v>
      </c>
      <c r="F63" s="20" t="n">
        <v>2.03533285</v>
      </c>
      <c r="G63" s="18" t="n">
        <v>64.96409060000001</v>
      </c>
      <c r="H63" s="20" t="n">
        <v>2.44770329</v>
      </c>
      <c r="I63" s="18" t="s">
        <v>349</v>
      </c>
      <c r="J63" s="20" t="s">
        <v>349</v>
      </c>
      <c r="K63" s="18" t="n">
        <v>1.63568456</v>
      </c>
      <c r="L63" s="20" t="n">
        <v>0.7112668</v>
      </c>
      <c r="M63" s="18" t="n">
        <v>0</v>
      </c>
      <c r="N63" s="20" t="n">
        <v>0</v>
      </c>
      <c r="O63" s="18" t="n">
        <v>0</v>
      </c>
      <c r="P63" s="20" t="n">
        <v>0</v>
      </c>
      <c r="Q63" s="18" t="n">
        <v>16.11285894</v>
      </c>
      <c r="R63" s="20" t="n">
        <v>2.01976566</v>
      </c>
    </row>
    <row r="64" spans="1:18">
      <c r="A64" s="15" t="s">
        <v>406</v>
      </c>
      <c r="B64" s="17" t="n">
        <v>1790</v>
      </c>
      <c r="C64" s="18">
        <f>(1490.0/B64*100)</f>
        <v/>
      </c>
      <c r="D64" s="19" t="n">
        <v>300</v>
      </c>
      <c r="E64" s="18" t="n">
        <v>6.4853576</v>
      </c>
      <c r="F64" s="20" t="n">
        <v>1.52801696</v>
      </c>
      <c r="G64" s="18" t="n">
        <v>88.59544897000001</v>
      </c>
      <c r="H64" s="20" t="n">
        <v>1.95025206</v>
      </c>
      <c r="I64" s="18" t="s">
        <v>349</v>
      </c>
      <c r="J64" s="20" t="s">
        <v>349</v>
      </c>
      <c r="K64" s="18" t="n">
        <v>1.16266184</v>
      </c>
      <c r="L64" s="20" t="n">
        <v>0.68100647</v>
      </c>
      <c r="M64" s="18" t="n">
        <v>0</v>
      </c>
      <c r="N64" s="20" t="n">
        <v>0</v>
      </c>
      <c r="O64" s="18" t="n">
        <v>0</v>
      </c>
      <c r="P64" s="20" t="n">
        <v>0</v>
      </c>
      <c r="Q64" s="18" t="n">
        <v>3.75653159</v>
      </c>
      <c r="R64" s="20" t="n">
        <v>1.18094881</v>
      </c>
    </row>
    <row r="65" spans="1:18">
      <c r="A65" s="15" t="s">
        <v>407</v>
      </c>
      <c r="B65" s="17" t="n">
        <v>2634</v>
      </c>
      <c r="C65" s="18">
        <f>(2206.0/B65*100)</f>
        <v/>
      </c>
      <c r="D65" s="19" t="n">
        <v>428</v>
      </c>
      <c r="E65" s="18" t="n">
        <v>18.63133033</v>
      </c>
      <c r="F65" s="20" t="n">
        <v>2.14185826</v>
      </c>
      <c r="G65" s="18" t="n">
        <v>69.61914114</v>
      </c>
      <c r="H65" s="20" t="n">
        <v>2.23130972</v>
      </c>
      <c r="I65" s="18" t="s">
        <v>349</v>
      </c>
      <c r="J65" s="20" t="s">
        <v>349</v>
      </c>
      <c r="K65" s="18" t="n">
        <v>2.29753126</v>
      </c>
      <c r="L65" s="20" t="n">
        <v>0.58810183</v>
      </c>
      <c r="M65" s="18" t="n">
        <v>0</v>
      </c>
      <c r="N65" s="20" t="n">
        <v>0</v>
      </c>
      <c r="O65" s="18" t="n">
        <v>0</v>
      </c>
      <c r="P65" s="20" t="n">
        <v>0</v>
      </c>
      <c r="Q65" s="18" t="n">
        <v>9.451997280000001</v>
      </c>
      <c r="R65" s="20" t="n">
        <v>1.66356963</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(2057.0/B69*100)</f>
        <v/>
      </c>
      <c r="D69" s="19" t="n">
        <v>409</v>
      </c>
      <c r="E69" s="18" t="n">
        <v>14.74180181</v>
      </c>
      <c r="F69" s="20" t="n">
        <v>1.92963896</v>
      </c>
      <c r="G69" s="18" t="n">
        <v>85.05582105000001</v>
      </c>
      <c r="H69" s="20" t="n">
        <v>1.9674386</v>
      </c>
      <c r="I69" s="18" t="s">
        <v>349</v>
      </c>
      <c r="J69" s="20" t="s">
        <v>349</v>
      </c>
      <c r="K69" s="18" t="n">
        <v>0</v>
      </c>
      <c r="L69" s="20" t="n">
        <v>0</v>
      </c>
      <c r="M69" s="18" t="n">
        <v>0</v>
      </c>
      <c r="N69" s="20" t="n">
        <v>0</v>
      </c>
      <c r="O69" s="18" t="n">
        <v>0</v>
      </c>
      <c r="P69" s="20" t="n">
        <v>0</v>
      </c>
      <c r="Q69" s="18" t="n">
        <v>0.20237714</v>
      </c>
      <c r="R69" s="20" t="n">
        <v>0.20302212</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8.739980790000001</v>
      </c>
      <c r="F74" s="20" t="n">
        <v>1.53173558</v>
      </c>
      <c r="G74" s="18" t="n">
        <v>83.52399946</v>
      </c>
      <c r="H74" s="20" t="n">
        <v>2.02518632</v>
      </c>
      <c r="I74" s="18" t="s">
        <v>349</v>
      </c>
      <c r="J74" s="20" t="s">
        <v>349</v>
      </c>
      <c r="K74" s="18" t="n">
        <v>3.84999217</v>
      </c>
      <c r="L74" s="20" t="n">
        <v>1.08698288</v>
      </c>
      <c r="M74" s="18" t="n">
        <v>0</v>
      </c>
      <c r="N74" s="20" t="n">
        <v>0</v>
      </c>
      <c r="O74" s="18" t="n">
        <v>0</v>
      </c>
      <c r="P74" s="20" t="n">
        <v>0</v>
      </c>
      <c r="Q74" s="18" t="n">
        <v>3.88602758</v>
      </c>
      <c r="R74" s="20" t="n">
        <v>1.20832127</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(2528.0/B78*100)</f>
        <v/>
      </c>
      <c r="D78" s="19" t="n">
        <v>512</v>
      </c>
      <c r="E78" s="18" t="n">
        <v>14.50147832</v>
      </c>
      <c r="F78" s="20" t="n">
        <v>1.60866276</v>
      </c>
      <c r="G78" s="18" t="n">
        <v>85.49852168</v>
      </c>
      <c r="H78" s="20" t="n">
        <v>1.60866276</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(725.0/B79*100)</f>
        <v/>
      </c>
      <c r="D79" s="19" t="n">
        <v>145</v>
      </c>
      <c r="E79" s="18" t="n">
        <v>13.67897349</v>
      </c>
      <c r="F79" s="20" t="n">
        <v>2.12251971</v>
      </c>
      <c r="G79" s="18" t="n">
        <v>78.1628898</v>
      </c>
      <c r="H79" s="20" t="n">
        <v>3.66583975</v>
      </c>
      <c r="I79" s="18" t="s">
        <v>349</v>
      </c>
      <c r="J79" s="20" t="s">
        <v>349</v>
      </c>
      <c r="K79" s="18" t="n">
        <v>1.50319344</v>
      </c>
      <c r="L79" s="20" t="n">
        <v>1.11328819</v>
      </c>
      <c r="M79" s="18" t="n">
        <v>0</v>
      </c>
      <c r="N79" s="20" t="n">
        <v>0</v>
      </c>
      <c r="O79" s="18" t="n">
        <v>0</v>
      </c>
      <c r="P79" s="20" t="n">
        <v>0</v>
      </c>
      <c r="Q79" s="18" t="n">
        <v>6.65494326</v>
      </c>
      <c r="R79" s="20" t="n">
        <v>2.65913613</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(2235.0/B44*100)</f>
        <v/>
      </c>
      <c r="D44" s="19" t="n">
        <v>456</v>
      </c>
      <c r="E44" s="18" t="n">
        <v>47.01547614</v>
      </c>
      <c r="F44" s="20" t="n">
        <v>2.93004724</v>
      </c>
      <c r="G44" s="18" t="n">
        <v>39.0350262</v>
      </c>
      <c r="H44" s="20" t="n">
        <v>2.60901759</v>
      </c>
      <c r="I44" s="18" t="s">
        <v>349</v>
      </c>
      <c r="J44" s="20" t="s">
        <v>349</v>
      </c>
      <c r="K44" s="18" t="n">
        <v>0.40735415</v>
      </c>
      <c r="L44" s="20" t="n">
        <v>0.28641345</v>
      </c>
      <c r="M44" s="18" t="n">
        <v>0</v>
      </c>
      <c r="N44" s="20" t="n">
        <v>0</v>
      </c>
      <c r="O44" s="18" t="n">
        <v>0.14217046</v>
      </c>
      <c r="P44" s="20" t="n">
        <v>0.14300717</v>
      </c>
      <c r="Q44" s="18" t="n">
        <v>13.39997305</v>
      </c>
      <c r="R44" s="20" t="n">
        <v>2.1325717</v>
      </c>
    </row>
    <row r="45" spans="1:18">
      <c r="A45" s="15" t="s">
        <v>387</v>
      </c>
      <c r="B45" s="17" t="n">
        <v>2670</v>
      </c>
      <c r="C45" s="18">
        <f>(2266.0/B45*100)</f>
        <v/>
      </c>
      <c r="D45" s="19" t="n">
        <v>404</v>
      </c>
      <c r="E45" s="18" t="n">
        <v>64.57012062</v>
      </c>
      <c r="F45" s="20" t="n">
        <v>2.51410233</v>
      </c>
      <c r="G45" s="18" t="n">
        <v>19.32668926</v>
      </c>
      <c r="H45" s="20" t="n">
        <v>1.65850993</v>
      </c>
      <c r="I45" s="18" t="s">
        <v>349</v>
      </c>
      <c r="J45" s="20" t="s">
        <v>349</v>
      </c>
      <c r="K45" s="18" t="n">
        <v>1.76338598</v>
      </c>
      <c r="L45" s="20" t="n">
        <v>0.71232538</v>
      </c>
      <c r="M45" s="18" t="n">
        <v>0.35976764</v>
      </c>
      <c r="N45" s="20" t="n">
        <v>0.34150135</v>
      </c>
      <c r="O45" s="18" t="n">
        <v>0.83063527</v>
      </c>
      <c r="P45" s="20" t="n">
        <v>0.43183619</v>
      </c>
      <c r="Q45" s="18" t="n">
        <v>13.14940123</v>
      </c>
      <c r="R45" s="20" t="n">
        <v>1.73549684</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(2792.0/B49*100)</f>
        <v/>
      </c>
      <c r="D49" s="19" t="n">
        <v>539</v>
      </c>
      <c r="E49" s="18" t="n">
        <v>49.85648548</v>
      </c>
      <c r="F49" s="20" t="n">
        <v>2.54986625</v>
      </c>
      <c r="G49" s="18" t="n">
        <v>40.45919853</v>
      </c>
      <c r="H49" s="20" t="n">
        <v>2.5182327</v>
      </c>
      <c r="I49" s="18" t="s">
        <v>349</v>
      </c>
      <c r="J49" s="20" t="s">
        <v>349</v>
      </c>
      <c r="K49" s="18" t="n">
        <v>1.69805715</v>
      </c>
      <c r="L49" s="20" t="n">
        <v>0.70743798</v>
      </c>
      <c r="M49" s="18" t="n">
        <v>0</v>
      </c>
      <c r="N49" s="20" t="n">
        <v>0</v>
      </c>
      <c r="O49" s="18" t="n">
        <v>0</v>
      </c>
      <c r="P49" s="20" t="n">
        <v>0</v>
      </c>
      <c r="Q49" s="18" t="n">
        <v>7.98625884</v>
      </c>
      <c r="R49" s="20" t="n">
        <v>1.54994525</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(2118.0/B55*100)</f>
        <v/>
      </c>
      <c r="D55" s="19" t="n">
        <v>439</v>
      </c>
      <c r="E55" s="18" t="n">
        <v>55.17408219</v>
      </c>
      <c r="F55" s="20" t="n">
        <v>2.63541683</v>
      </c>
      <c r="G55" s="18" t="n">
        <v>36.86723063</v>
      </c>
      <c r="H55" s="20" t="n">
        <v>2.46712631</v>
      </c>
      <c r="I55" s="18" t="s">
        <v>349</v>
      </c>
      <c r="J55" s="20" t="s">
        <v>349</v>
      </c>
      <c r="K55" s="18" t="n">
        <v>0.63239988</v>
      </c>
      <c r="L55" s="20" t="n">
        <v>0.3693421</v>
      </c>
      <c r="M55" s="18" t="n">
        <v>0.21416034</v>
      </c>
      <c r="N55" s="20" t="n">
        <v>0.21355321</v>
      </c>
      <c r="O55" s="18" t="n">
        <v>0.18773271</v>
      </c>
      <c r="P55" s="20" t="n">
        <v>0.18676427</v>
      </c>
      <c r="Q55" s="18" t="n">
        <v>6.92439425</v>
      </c>
      <c r="R55" s="20" t="n">
        <v>0.98782163</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(2789.0/B57*100)</f>
        <v/>
      </c>
      <c r="D57" s="19" t="n">
        <v>554</v>
      </c>
      <c r="E57" s="18" t="n">
        <v>63.0883056</v>
      </c>
      <c r="F57" s="20" t="n">
        <v>2.37432035</v>
      </c>
      <c r="G57" s="18" t="n">
        <v>30.61641273</v>
      </c>
      <c r="H57" s="20" t="n">
        <v>2.15619019</v>
      </c>
      <c r="I57" s="18" t="s">
        <v>349</v>
      </c>
      <c r="J57" s="20" t="s">
        <v>349</v>
      </c>
      <c r="K57" s="18" t="n">
        <v>0.60772899</v>
      </c>
      <c r="L57" s="20" t="n">
        <v>0.42281693</v>
      </c>
      <c r="M57" s="18" t="n">
        <v>0</v>
      </c>
      <c r="N57" s="20" t="n">
        <v>0</v>
      </c>
      <c r="O57" s="18" t="n">
        <v>0</v>
      </c>
      <c r="P57" s="20" t="n">
        <v>0</v>
      </c>
      <c r="Q57" s="18" t="n">
        <v>5.68755268</v>
      </c>
      <c r="R57" s="20" t="n">
        <v>1.16220024</v>
      </c>
    </row>
    <row r="58" spans="1:18">
      <c r="A58" s="15" t="s">
        <v>400</v>
      </c>
      <c r="B58" s="17" t="n">
        <v>3737</v>
      </c>
      <c r="C58" s="18">
        <f>(3120.0/B58*100)</f>
        <v/>
      </c>
      <c r="D58" s="19" t="n">
        <v>617</v>
      </c>
      <c r="E58" s="18" t="n">
        <v>63.71031038</v>
      </c>
      <c r="F58" s="20" t="n">
        <v>2.23594719</v>
      </c>
      <c r="G58" s="18" t="n">
        <v>29.3752451</v>
      </c>
      <c r="H58" s="20" t="n">
        <v>2.15858918</v>
      </c>
      <c r="I58" s="18" t="s">
        <v>349</v>
      </c>
      <c r="J58" s="20" t="s">
        <v>349</v>
      </c>
      <c r="K58" s="18" t="n">
        <v>0.37755181</v>
      </c>
      <c r="L58" s="20" t="n">
        <v>0.26664634</v>
      </c>
      <c r="M58" s="18" t="n">
        <v>0</v>
      </c>
      <c r="N58" s="20" t="n">
        <v>0</v>
      </c>
      <c r="O58" s="18" t="n">
        <v>0.04050925</v>
      </c>
      <c r="P58" s="20" t="n">
        <v>0.04042243</v>
      </c>
      <c r="Q58" s="18" t="n">
        <v>6.49638346</v>
      </c>
      <c r="R58" s="20" t="n">
        <v>1.1503596</v>
      </c>
    </row>
    <row r="59" spans="1:18">
      <c r="A59" s="15" t="s">
        <v>401</v>
      </c>
      <c r="B59" s="17" t="n">
        <v>2278</v>
      </c>
      <c r="C59" s="18">
        <f>(1920.0/B59*100)</f>
        <v/>
      </c>
      <c r="D59" s="19" t="n">
        <v>358</v>
      </c>
      <c r="E59" s="18" t="n">
        <v>69.5699953</v>
      </c>
      <c r="F59" s="20" t="n">
        <v>2.72041544</v>
      </c>
      <c r="G59" s="18" t="n">
        <v>27.44784042</v>
      </c>
      <c r="H59" s="20" t="n">
        <v>2.68032192</v>
      </c>
      <c r="I59" s="18" t="s">
        <v>349</v>
      </c>
      <c r="J59" s="20" t="s">
        <v>349</v>
      </c>
      <c r="K59" s="18" t="n">
        <v>0.41320345</v>
      </c>
      <c r="L59" s="20" t="n">
        <v>0.31968687</v>
      </c>
      <c r="M59" s="18" t="n">
        <v>0</v>
      </c>
      <c r="N59" s="20" t="n">
        <v>0</v>
      </c>
      <c r="O59" s="18" t="n">
        <v>0</v>
      </c>
      <c r="P59" s="20" t="n">
        <v>0</v>
      </c>
      <c r="Q59" s="18" t="n">
        <v>2.56896084</v>
      </c>
      <c r="R59" s="20" t="n">
        <v>0.76022477</v>
      </c>
    </row>
    <row r="60" spans="1:18">
      <c r="A60" s="15" t="s">
        <v>402</v>
      </c>
      <c r="B60" s="17" t="n">
        <v>2451</v>
      </c>
      <c r="C60" s="18">
        <f>(2043.0/B60*100)</f>
        <v/>
      </c>
      <c r="D60" s="19" t="n">
        <v>408</v>
      </c>
      <c r="E60" s="18" t="n">
        <v>52.08515918</v>
      </c>
      <c r="F60" s="20" t="n">
        <v>2.95349095</v>
      </c>
      <c r="G60" s="18" t="n">
        <v>32.30798835</v>
      </c>
      <c r="H60" s="20" t="n">
        <v>2.62487002</v>
      </c>
      <c r="I60" s="18" t="s">
        <v>349</v>
      </c>
      <c r="J60" s="20" t="s">
        <v>349</v>
      </c>
      <c r="K60" s="18" t="n">
        <v>0.84421846</v>
      </c>
      <c r="L60" s="20" t="n">
        <v>0.49379861</v>
      </c>
      <c r="M60" s="18" t="n">
        <v>0</v>
      </c>
      <c r="N60" s="20" t="n">
        <v>0</v>
      </c>
      <c r="O60" s="18" t="n">
        <v>1.41827718</v>
      </c>
      <c r="P60" s="20" t="n">
        <v>0.78452831</v>
      </c>
      <c r="Q60" s="18" t="n">
        <v>13.34435683</v>
      </c>
      <c r="R60" s="20" t="n">
        <v>2.05017113</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(2103.0/B63*100)</f>
        <v/>
      </c>
      <c r="D63" s="19" t="n">
        <v>408</v>
      </c>
      <c r="E63" s="18" t="n">
        <v>55.53085197</v>
      </c>
      <c r="F63" s="20" t="n">
        <v>2.21478241</v>
      </c>
      <c r="G63" s="18" t="n">
        <v>30.91213682</v>
      </c>
      <c r="H63" s="20" t="n">
        <v>2.32979822</v>
      </c>
      <c r="I63" s="18" t="s">
        <v>349</v>
      </c>
      <c r="J63" s="20" t="s">
        <v>349</v>
      </c>
      <c r="K63" s="18" t="n">
        <v>1.8386182</v>
      </c>
      <c r="L63" s="20" t="n">
        <v>0.73783307</v>
      </c>
      <c r="M63" s="18" t="n">
        <v>0</v>
      </c>
      <c r="N63" s="20" t="n">
        <v>0</v>
      </c>
      <c r="O63" s="18" t="n">
        <v>0</v>
      </c>
      <c r="P63" s="20" t="n">
        <v>0</v>
      </c>
      <c r="Q63" s="18" t="n">
        <v>11.71839301</v>
      </c>
      <c r="R63" s="20" t="n">
        <v>1.76009761</v>
      </c>
    </row>
    <row r="64" spans="1:18">
      <c r="A64" s="15" t="s">
        <v>406</v>
      </c>
      <c r="B64" s="17" t="n">
        <v>1790</v>
      </c>
      <c r="C64" s="18">
        <f>(1490.0/B64*100)</f>
        <v/>
      </c>
      <c r="D64" s="19" t="n">
        <v>300</v>
      </c>
      <c r="E64" s="18" t="n">
        <v>48.52049379</v>
      </c>
      <c r="F64" s="20" t="n">
        <v>2.66337043</v>
      </c>
      <c r="G64" s="18" t="n">
        <v>48.96279328</v>
      </c>
      <c r="H64" s="20" t="n">
        <v>2.77057558</v>
      </c>
      <c r="I64" s="18" t="s">
        <v>349</v>
      </c>
      <c r="J64" s="20" t="s">
        <v>349</v>
      </c>
      <c r="K64" s="18" t="n">
        <v>1.62035008</v>
      </c>
      <c r="L64" s="20" t="n">
        <v>0.80566243</v>
      </c>
      <c r="M64" s="18" t="n">
        <v>0</v>
      </c>
      <c r="N64" s="20" t="n">
        <v>0</v>
      </c>
      <c r="O64" s="18" t="n">
        <v>0</v>
      </c>
      <c r="P64" s="20" t="n">
        <v>0</v>
      </c>
      <c r="Q64" s="18" t="n">
        <v>0.89636285</v>
      </c>
      <c r="R64" s="20" t="n">
        <v>0.50986111</v>
      </c>
    </row>
    <row r="65" spans="1:18">
      <c r="A65" s="15" t="s">
        <v>407</v>
      </c>
      <c r="B65" s="17" t="n">
        <v>2634</v>
      </c>
      <c r="C65" s="18">
        <f>(2206.0/B65*100)</f>
        <v/>
      </c>
      <c r="D65" s="19" t="n">
        <v>428</v>
      </c>
      <c r="E65" s="18" t="n">
        <v>50.20198572</v>
      </c>
      <c r="F65" s="20" t="n">
        <v>2.55663242</v>
      </c>
      <c r="G65" s="18" t="n">
        <v>36.96760791</v>
      </c>
      <c r="H65" s="20" t="n">
        <v>2.65087268</v>
      </c>
      <c r="I65" s="18" t="s">
        <v>349</v>
      </c>
      <c r="J65" s="20" t="s">
        <v>349</v>
      </c>
      <c r="K65" s="18" t="n">
        <v>2.34173415</v>
      </c>
      <c r="L65" s="20" t="n">
        <v>0.5903533399999999</v>
      </c>
      <c r="M65" s="18" t="n">
        <v>0</v>
      </c>
      <c r="N65" s="20" t="n">
        <v>0</v>
      </c>
      <c r="O65" s="18" t="n">
        <v>0</v>
      </c>
      <c r="P65" s="20" t="n">
        <v>0</v>
      </c>
      <c r="Q65" s="18" t="n">
        <v>10.48867222</v>
      </c>
      <c r="R65" s="20" t="n">
        <v>1.6791339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(2057.0/B69*100)</f>
        <v/>
      </c>
      <c r="D69" s="19" t="n">
        <v>409</v>
      </c>
      <c r="E69" s="18" t="n">
        <v>45.84213927</v>
      </c>
      <c r="F69" s="20" t="n">
        <v>2.84426345</v>
      </c>
      <c r="G69" s="18" t="n">
        <v>54.15786073</v>
      </c>
      <c r="H69" s="20" t="n">
        <v>2.84426345</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49.47239589</v>
      </c>
      <c r="F74" s="20" t="n">
        <v>2.520755</v>
      </c>
      <c r="G74" s="18" t="n">
        <v>40.53438676</v>
      </c>
      <c r="H74" s="20" t="n">
        <v>2.39634704</v>
      </c>
      <c r="I74" s="18" t="s">
        <v>349</v>
      </c>
      <c r="J74" s="20" t="s">
        <v>349</v>
      </c>
      <c r="K74" s="18" t="n">
        <v>4.03523408</v>
      </c>
      <c r="L74" s="20" t="n">
        <v>1.07285812</v>
      </c>
      <c r="M74" s="18" t="n">
        <v>0</v>
      </c>
      <c r="N74" s="20" t="n">
        <v>0</v>
      </c>
      <c r="O74" s="18" t="n">
        <v>0</v>
      </c>
      <c r="P74" s="20" t="n">
        <v>0</v>
      </c>
      <c r="Q74" s="18" t="n">
        <v>5.95798327</v>
      </c>
      <c r="R74" s="20" t="n">
        <v>1.29380638</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(2528.0/B78*100)</f>
        <v/>
      </c>
      <c r="D78" s="19" t="n">
        <v>512</v>
      </c>
      <c r="E78" s="18" t="n">
        <v>31.71652784</v>
      </c>
      <c r="F78" s="20" t="n">
        <v>2.62435204</v>
      </c>
      <c r="G78" s="18" t="n">
        <v>68.06803364</v>
      </c>
      <c r="H78" s="20" t="n">
        <v>2.62612825</v>
      </c>
      <c r="I78" s="18" t="s">
        <v>349</v>
      </c>
      <c r="J78" s="20" t="s">
        <v>349</v>
      </c>
      <c r="K78" s="18" t="n">
        <v>0</v>
      </c>
      <c r="L78" s="20" t="n">
        <v>0</v>
      </c>
      <c r="M78" s="18" t="n">
        <v>0</v>
      </c>
      <c r="N78" s="20" t="n">
        <v>0</v>
      </c>
      <c r="O78" s="18" t="n">
        <v>0</v>
      </c>
      <c r="P78" s="20" t="n">
        <v>0</v>
      </c>
      <c r="Q78" s="18" t="n">
        <v>0.21543852</v>
      </c>
      <c r="R78" s="20" t="n">
        <v>0.21394851</v>
      </c>
    </row>
    <row customHeight="1" ht="25" r="79" spans="1:18">
      <c r="A79" s="15" t="s">
        <v>421</v>
      </c>
      <c r="B79" s="17" t="n">
        <v>870</v>
      </c>
      <c r="C79" s="18">
        <f>(725.0/B79*100)</f>
        <v/>
      </c>
      <c r="D79" s="19" t="n">
        <v>145</v>
      </c>
      <c r="E79" s="18" t="n">
        <v>46.72747053</v>
      </c>
      <c r="F79" s="20" t="n">
        <v>5.14955793</v>
      </c>
      <c r="G79" s="18" t="n">
        <v>41.70831165</v>
      </c>
      <c r="H79" s="20" t="n">
        <v>5.90839005</v>
      </c>
      <c r="I79" s="18" t="s">
        <v>349</v>
      </c>
      <c r="J79" s="20" t="s">
        <v>349</v>
      </c>
      <c r="K79" s="18" t="n">
        <v>1.50319344</v>
      </c>
      <c r="L79" s="20" t="n">
        <v>1.11328819</v>
      </c>
      <c r="M79" s="18" t="n">
        <v>0</v>
      </c>
      <c r="N79" s="20" t="n">
        <v>0</v>
      </c>
      <c r="O79" s="18" t="n">
        <v>0</v>
      </c>
      <c r="P79" s="20" t="n">
        <v>0</v>
      </c>
      <c r="Q79" s="18" t="n">
        <v>10.06102437</v>
      </c>
      <c r="R79" s="20" t="n">
        <v>2.35670083</v>
      </c>
    </row>
    <row r="80" spans="1:18">
      <c r="A80" s="15" t="s">
        <v>422</v>
      </c>
      <c r="B80" s="17" t="n">
        <v>4043</v>
      </c>
      <c r="C80" s="18">
        <f>(3360.0/B80*100)</f>
        <v/>
      </c>
      <c r="D80" s="19" t="n">
        <v>683</v>
      </c>
      <c r="E80" s="18" t="n">
        <v>51.87920618</v>
      </c>
      <c r="F80" s="20" t="n">
        <v>2.46325075</v>
      </c>
      <c r="G80" s="18" t="n">
        <v>47.88679584</v>
      </c>
      <c r="H80" s="20" t="n">
        <v>2.43404127</v>
      </c>
      <c r="I80" s="18" t="s">
        <v>349</v>
      </c>
      <c r="J80" s="20" t="s">
        <v>349</v>
      </c>
      <c r="K80" s="18" t="n">
        <v>0</v>
      </c>
      <c r="L80" s="20" t="n">
        <v>0</v>
      </c>
      <c r="M80" s="18" t="n">
        <v>0</v>
      </c>
      <c r="N80" s="20" t="n">
        <v>0</v>
      </c>
      <c r="O80" s="18" t="n">
        <v>0</v>
      </c>
      <c r="P80" s="20" t="n">
        <v>0</v>
      </c>
      <c r="Q80" s="18" t="n">
        <v>0.23399799</v>
      </c>
      <c r="R80" s="20" t="n">
        <v>0.32908387</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(2235.0/B44*100)</f>
        <v/>
      </c>
      <c r="D44" s="19" t="n">
        <v>456</v>
      </c>
      <c r="E44" s="18" t="n">
        <v>59.32800775</v>
      </c>
      <c r="F44" s="20" t="n">
        <v>2.50127638</v>
      </c>
      <c r="G44" s="18" t="n">
        <v>8.500770019999999</v>
      </c>
      <c r="H44" s="20" t="n">
        <v>1.48692168</v>
      </c>
      <c r="I44" s="18" t="s">
        <v>349</v>
      </c>
      <c r="J44" s="20" t="s">
        <v>349</v>
      </c>
      <c r="K44" s="18" t="n">
        <v>0.40735415</v>
      </c>
      <c r="L44" s="20" t="n">
        <v>0.28641345</v>
      </c>
      <c r="M44" s="18" t="n">
        <v>0</v>
      </c>
      <c r="N44" s="20" t="n">
        <v>0</v>
      </c>
      <c r="O44" s="18" t="n">
        <v>0</v>
      </c>
      <c r="P44" s="20" t="n">
        <v>0</v>
      </c>
      <c r="Q44" s="18" t="n">
        <v>31.76386808</v>
      </c>
      <c r="R44" s="20" t="n">
        <v>2.36301475</v>
      </c>
    </row>
    <row r="45" spans="1:18">
      <c r="A45" s="15" t="s">
        <v>387</v>
      </c>
      <c r="B45" s="17" t="n">
        <v>2670</v>
      </c>
      <c r="C45" s="18">
        <f>(2266.0/B45*100)</f>
        <v/>
      </c>
      <c r="D45" s="19" t="n">
        <v>404</v>
      </c>
      <c r="E45" s="18" t="n">
        <v>57.91480173</v>
      </c>
      <c r="F45" s="20" t="n">
        <v>2.32195711</v>
      </c>
      <c r="G45" s="18" t="n">
        <v>4.05622135</v>
      </c>
      <c r="H45" s="20" t="n">
        <v>1.23980981</v>
      </c>
      <c r="I45" s="18" t="s">
        <v>349</v>
      </c>
      <c r="J45" s="20" t="s">
        <v>349</v>
      </c>
      <c r="K45" s="18" t="n">
        <v>1.9439063</v>
      </c>
      <c r="L45" s="20" t="n">
        <v>0.68175195</v>
      </c>
      <c r="M45" s="18" t="n">
        <v>0</v>
      </c>
      <c r="N45" s="20" t="n">
        <v>0</v>
      </c>
      <c r="O45" s="18" t="n">
        <v>0</v>
      </c>
      <c r="P45" s="20" t="n">
        <v>0</v>
      </c>
      <c r="Q45" s="18" t="n">
        <v>36.08507061</v>
      </c>
      <c r="R45" s="20" t="n">
        <v>2.34669477</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(2792.0/B49*100)</f>
        <v/>
      </c>
      <c r="D49" s="19" t="n">
        <v>539</v>
      </c>
      <c r="E49" s="18" t="n">
        <v>69.85477844</v>
      </c>
      <c r="F49" s="20" t="n">
        <v>2.56485347</v>
      </c>
      <c r="G49" s="18" t="n">
        <v>7.70696541</v>
      </c>
      <c r="H49" s="20" t="n">
        <v>1.49691787</v>
      </c>
      <c r="I49" s="18" t="s">
        <v>349</v>
      </c>
      <c r="J49" s="20" t="s">
        <v>349</v>
      </c>
      <c r="K49" s="18" t="n">
        <v>1.69805715</v>
      </c>
      <c r="L49" s="20" t="n">
        <v>0.70743798</v>
      </c>
      <c r="M49" s="18" t="n">
        <v>0</v>
      </c>
      <c r="N49" s="20" t="n">
        <v>0</v>
      </c>
      <c r="O49" s="18" t="n">
        <v>0</v>
      </c>
      <c r="P49" s="20" t="n">
        <v>0</v>
      </c>
      <c r="Q49" s="18" t="n">
        <v>20.740199</v>
      </c>
      <c r="R49" s="20" t="n">
        <v>2.22027083</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(2118.0/B55*100)</f>
        <v/>
      </c>
      <c r="D55" s="19" t="n">
        <v>439</v>
      </c>
      <c r="E55" s="18" t="n">
        <v>64.12563045</v>
      </c>
      <c r="F55" s="20" t="n">
        <v>2.22121636</v>
      </c>
      <c r="G55" s="18" t="n">
        <v>4.42586546</v>
      </c>
      <c r="H55" s="20" t="n">
        <v>1.20485687</v>
      </c>
      <c r="I55" s="18" t="s">
        <v>349</v>
      </c>
      <c r="J55" s="20" t="s">
        <v>349</v>
      </c>
      <c r="K55" s="18" t="n">
        <v>0.63239988</v>
      </c>
      <c r="L55" s="20" t="n">
        <v>0.3693421</v>
      </c>
      <c r="M55" s="18" t="n">
        <v>0.21416034</v>
      </c>
      <c r="N55" s="20" t="n">
        <v>0.21355321</v>
      </c>
      <c r="O55" s="18" t="n">
        <v>0.36638415</v>
      </c>
      <c r="P55" s="20" t="n">
        <v>0.36306118</v>
      </c>
      <c r="Q55" s="18" t="n">
        <v>30.23555972</v>
      </c>
      <c r="R55" s="20" t="n">
        <v>2.08622092</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(2789.0/B57*100)</f>
        <v/>
      </c>
      <c r="D57" s="19" t="n">
        <v>554</v>
      </c>
      <c r="E57" s="18" t="n">
        <v>78.55006384000001</v>
      </c>
      <c r="F57" s="20" t="n">
        <v>2.23796376</v>
      </c>
      <c r="G57" s="18" t="n">
        <v>5.06989486</v>
      </c>
      <c r="H57" s="20" t="n">
        <v>0.86402849</v>
      </c>
      <c r="I57" s="18" t="s">
        <v>349</v>
      </c>
      <c r="J57" s="20" t="s">
        <v>349</v>
      </c>
      <c r="K57" s="18" t="n">
        <v>0.60772899</v>
      </c>
      <c r="L57" s="20" t="n">
        <v>0.42281693</v>
      </c>
      <c r="M57" s="18" t="n">
        <v>0</v>
      </c>
      <c r="N57" s="20" t="n">
        <v>0</v>
      </c>
      <c r="O57" s="18" t="n">
        <v>0</v>
      </c>
      <c r="P57" s="20" t="n">
        <v>0</v>
      </c>
      <c r="Q57" s="18" t="n">
        <v>15.7723123</v>
      </c>
      <c r="R57" s="20" t="n">
        <v>2.12441574</v>
      </c>
    </row>
    <row r="58" spans="1:18">
      <c r="A58" s="15" t="s">
        <v>400</v>
      </c>
      <c r="B58" s="17" t="n">
        <v>3737</v>
      </c>
      <c r="C58" s="18">
        <f>(3120.0/B58*100)</f>
        <v/>
      </c>
      <c r="D58" s="19" t="n">
        <v>617</v>
      </c>
      <c r="E58" s="18" t="n">
        <v>78.46742016</v>
      </c>
      <c r="F58" s="20" t="n">
        <v>1.97684152</v>
      </c>
      <c r="G58" s="18" t="n">
        <v>3.13546638</v>
      </c>
      <c r="H58" s="20" t="n">
        <v>0.8871836</v>
      </c>
      <c r="I58" s="18" t="s">
        <v>349</v>
      </c>
      <c r="J58" s="20" t="s">
        <v>349</v>
      </c>
      <c r="K58" s="18" t="n">
        <v>0.62172572</v>
      </c>
      <c r="L58" s="20" t="n">
        <v>0.36125545</v>
      </c>
      <c r="M58" s="18" t="n">
        <v>0</v>
      </c>
      <c r="N58" s="20" t="n">
        <v>0</v>
      </c>
      <c r="O58" s="18" t="n">
        <v>0</v>
      </c>
      <c r="P58" s="20" t="n">
        <v>0</v>
      </c>
      <c r="Q58" s="18" t="n">
        <v>17.77538774</v>
      </c>
      <c r="R58" s="20" t="n">
        <v>1.95189008</v>
      </c>
    </row>
    <row r="59" spans="1:18">
      <c r="A59" s="15" t="s">
        <v>401</v>
      </c>
      <c r="B59" s="17" t="n">
        <v>2278</v>
      </c>
      <c r="C59" s="18">
        <f>(1920.0/B59*100)</f>
        <v/>
      </c>
      <c r="D59" s="19" t="n">
        <v>358</v>
      </c>
      <c r="E59" s="18" t="n">
        <v>72.22524907</v>
      </c>
      <c r="F59" s="20" t="n">
        <v>3.22833258</v>
      </c>
      <c r="G59" s="18" t="n">
        <v>3.2391727</v>
      </c>
      <c r="H59" s="20" t="n">
        <v>1.27011144</v>
      </c>
      <c r="I59" s="18" t="s">
        <v>349</v>
      </c>
      <c r="J59" s="20" t="s">
        <v>349</v>
      </c>
      <c r="K59" s="18" t="n">
        <v>0.41320345</v>
      </c>
      <c r="L59" s="20" t="n">
        <v>0.31968687</v>
      </c>
      <c r="M59" s="18" t="n">
        <v>0</v>
      </c>
      <c r="N59" s="20" t="n">
        <v>0</v>
      </c>
      <c r="O59" s="18" t="n">
        <v>0</v>
      </c>
      <c r="P59" s="20" t="n">
        <v>0</v>
      </c>
      <c r="Q59" s="18" t="n">
        <v>24.12237478</v>
      </c>
      <c r="R59" s="20" t="n">
        <v>2.94952927</v>
      </c>
    </row>
    <row r="60" spans="1:18">
      <c r="A60" s="15" t="s">
        <v>402</v>
      </c>
      <c r="B60" s="17" t="n">
        <v>2451</v>
      </c>
      <c r="C60" s="18">
        <f>(2043.0/B60*100)</f>
        <v/>
      </c>
      <c r="D60" s="19" t="n">
        <v>408</v>
      </c>
      <c r="E60" s="18" t="n">
        <v>47.06430775</v>
      </c>
      <c r="F60" s="20" t="n">
        <v>3.39959248</v>
      </c>
      <c r="G60" s="18" t="n">
        <v>9.789981020000001</v>
      </c>
      <c r="H60" s="20" t="n">
        <v>1.46084009</v>
      </c>
      <c r="I60" s="18" t="s">
        <v>349</v>
      </c>
      <c r="J60" s="20" t="s">
        <v>349</v>
      </c>
      <c r="K60" s="18" t="n">
        <v>0.84421846</v>
      </c>
      <c r="L60" s="20" t="n">
        <v>0.49379861</v>
      </c>
      <c r="M60" s="18" t="n">
        <v>0</v>
      </c>
      <c r="N60" s="20" t="n">
        <v>0</v>
      </c>
      <c r="O60" s="18" t="n">
        <v>0.29929063</v>
      </c>
      <c r="P60" s="20" t="n">
        <v>0.33935414</v>
      </c>
      <c r="Q60" s="18" t="n">
        <v>42.00220214</v>
      </c>
      <c r="R60" s="20" t="n">
        <v>2.99863043</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(2103.0/B63*100)</f>
        <v/>
      </c>
      <c r="D63" s="19" t="n">
        <v>408</v>
      </c>
      <c r="E63" s="18" t="n">
        <v>48.7267956</v>
      </c>
      <c r="F63" s="20" t="n">
        <v>2.5971046</v>
      </c>
      <c r="G63" s="18" t="n">
        <v>8.533356230000001</v>
      </c>
      <c r="H63" s="20" t="n">
        <v>1.54491311</v>
      </c>
      <c r="I63" s="18" t="s">
        <v>349</v>
      </c>
      <c r="J63" s="20" t="s">
        <v>349</v>
      </c>
      <c r="K63" s="18" t="n">
        <v>1.8386182</v>
      </c>
      <c r="L63" s="20" t="n">
        <v>0.73783307</v>
      </c>
      <c r="M63" s="18" t="n">
        <v>0</v>
      </c>
      <c r="N63" s="20" t="n">
        <v>0</v>
      </c>
      <c r="O63" s="18" t="n">
        <v>0</v>
      </c>
      <c r="P63" s="20" t="n">
        <v>0</v>
      </c>
      <c r="Q63" s="18" t="n">
        <v>40.90122997</v>
      </c>
      <c r="R63" s="20" t="n">
        <v>2.82449237</v>
      </c>
    </row>
    <row r="64" spans="1:18">
      <c r="A64" s="15" t="s">
        <v>406</v>
      </c>
      <c r="B64" s="17" t="n">
        <v>1790</v>
      </c>
      <c r="C64" s="18">
        <f>(1490.0/B64*100)</f>
        <v/>
      </c>
      <c r="D64" s="19" t="n">
        <v>300</v>
      </c>
      <c r="E64" s="18" t="n">
        <v>57.24108964</v>
      </c>
      <c r="F64" s="20" t="n">
        <v>2.75787283</v>
      </c>
      <c r="G64" s="18" t="n">
        <v>19.01273073</v>
      </c>
      <c r="H64" s="20" t="n">
        <v>2.24389995</v>
      </c>
      <c r="I64" s="18" t="s">
        <v>349</v>
      </c>
      <c r="J64" s="20" t="s">
        <v>349</v>
      </c>
      <c r="K64" s="18" t="n">
        <v>2.07059537</v>
      </c>
      <c r="L64" s="20" t="n">
        <v>0.91676802</v>
      </c>
      <c r="M64" s="18" t="n">
        <v>0</v>
      </c>
      <c r="N64" s="20" t="n">
        <v>0</v>
      </c>
      <c r="O64" s="18" t="n">
        <v>0</v>
      </c>
      <c r="P64" s="20" t="n">
        <v>0</v>
      </c>
      <c r="Q64" s="18" t="n">
        <v>21.67558425</v>
      </c>
      <c r="R64" s="20" t="n">
        <v>2.56757505</v>
      </c>
    </row>
    <row r="65" spans="1:18">
      <c r="A65" s="15" t="s">
        <v>407</v>
      </c>
      <c r="B65" s="17" t="n">
        <v>2634</v>
      </c>
      <c r="C65" s="18">
        <f>(2206.0/B65*100)</f>
        <v/>
      </c>
      <c r="D65" s="19" t="n">
        <v>428</v>
      </c>
      <c r="E65" s="18" t="n">
        <v>55.553593</v>
      </c>
      <c r="F65" s="20" t="n">
        <v>2.57414955</v>
      </c>
      <c r="G65" s="18" t="n">
        <v>11.56324342</v>
      </c>
      <c r="H65" s="20" t="n">
        <v>1.64693391</v>
      </c>
      <c r="I65" s="18" t="s">
        <v>349</v>
      </c>
      <c r="J65" s="20" t="s">
        <v>349</v>
      </c>
      <c r="K65" s="18" t="n">
        <v>2.41485965</v>
      </c>
      <c r="L65" s="20" t="n">
        <v>0.59440423</v>
      </c>
      <c r="M65" s="18" t="n">
        <v>0</v>
      </c>
      <c r="N65" s="20" t="n">
        <v>0</v>
      </c>
      <c r="O65" s="18" t="n">
        <v>0</v>
      </c>
      <c r="P65" s="20" t="n">
        <v>0</v>
      </c>
      <c r="Q65" s="18" t="n">
        <v>30.46830393</v>
      </c>
      <c r="R65" s="20" t="n">
        <v>2.45307156</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(2057.0/B69*100)</f>
        <v/>
      </c>
      <c r="D69" s="19" t="n">
        <v>409</v>
      </c>
      <c r="E69" s="18" t="n">
        <v>77.64415535000001</v>
      </c>
      <c r="F69" s="20" t="n">
        <v>2.52662413</v>
      </c>
      <c r="G69" s="18" t="n">
        <v>22.35584465</v>
      </c>
      <c r="H69" s="20" t="n">
        <v>2.52662413</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54.86037566</v>
      </c>
      <c r="F74" s="20" t="n">
        <v>2.61404766</v>
      </c>
      <c r="G74" s="18" t="n">
        <v>13.46269575</v>
      </c>
      <c r="H74" s="20" t="n">
        <v>1.58791062</v>
      </c>
      <c r="I74" s="18" t="s">
        <v>349</v>
      </c>
      <c r="J74" s="20" t="s">
        <v>349</v>
      </c>
      <c r="K74" s="18" t="n">
        <v>4.4275306</v>
      </c>
      <c r="L74" s="20" t="n">
        <v>1.09703859</v>
      </c>
      <c r="M74" s="18" t="n">
        <v>0</v>
      </c>
      <c r="N74" s="20" t="n">
        <v>0</v>
      </c>
      <c r="O74" s="18" t="n">
        <v>0</v>
      </c>
      <c r="P74" s="20" t="n">
        <v>0</v>
      </c>
      <c r="Q74" s="18" t="n">
        <v>27.24939799</v>
      </c>
      <c r="R74" s="20" t="n">
        <v>2.30785965</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(2528.0/B78*100)</f>
        <v/>
      </c>
      <c r="D78" s="19" t="n">
        <v>512</v>
      </c>
      <c r="E78" s="18" t="n">
        <v>82.8933688</v>
      </c>
      <c r="F78" s="20" t="n">
        <v>2.4772046</v>
      </c>
      <c r="G78" s="18" t="n">
        <v>16.65451063</v>
      </c>
      <c r="H78" s="20" t="n">
        <v>2.3810307</v>
      </c>
      <c r="I78" s="18" t="s">
        <v>349</v>
      </c>
      <c r="J78" s="20" t="s">
        <v>349</v>
      </c>
      <c r="K78" s="18" t="n">
        <v>0</v>
      </c>
      <c r="L78" s="20" t="n">
        <v>0</v>
      </c>
      <c r="M78" s="18" t="n">
        <v>0</v>
      </c>
      <c r="N78" s="20" t="n">
        <v>0</v>
      </c>
      <c r="O78" s="18" t="n">
        <v>0</v>
      </c>
      <c r="P78" s="20" t="n">
        <v>0</v>
      </c>
      <c r="Q78" s="18" t="n">
        <v>0.45212057</v>
      </c>
      <c r="R78" s="20" t="n">
        <v>0.32865794</v>
      </c>
    </row>
    <row customHeight="1" ht="25" r="79" spans="1:18">
      <c r="A79" s="15" t="s">
        <v>421</v>
      </c>
      <c r="B79" s="17" t="n">
        <v>870</v>
      </c>
      <c r="C79" s="18">
        <f>(725.0/B79*100)</f>
        <v/>
      </c>
      <c r="D79" s="19" t="n">
        <v>145</v>
      </c>
      <c r="E79" s="18" t="n">
        <v>56.40548859</v>
      </c>
      <c r="F79" s="20" t="n">
        <v>3.92073818</v>
      </c>
      <c r="G79" s="18" t="n">
        <v>19.14317531</v>
      </c>
      <c r="H79" s="20" t="n">
        <v>3.95973823</v>
      </c>
      <c r="I79" s="18" t="s">
        <v>349</v>
      </c>
      <c r="J79" s="20" t="s">
        <v>349</v>
      </c>
      <c r="K79" s="18" t="n">
        <v>1.50319344</v>
      </c>
      <c r="L79" s="20" t="n">
        <v>1.11328819</v>
      </c>
      <c r="M79" s="18" t="n">
        <v>0</v>
      </c>
      <c r="N79" s="20" t="n">
        <v>0</v>
      </c>
      <c r="O79" s="18" t="n">
        <v>0</v>
      </c>
      <c r="P79" s="20" t="n">
        <v>0</v>
      </c>
      <c r="Q79" s="18" t="n">
        <v>22.94814265</v>
      </c>
      <c r="R79" s="20" t="n">
        <v>3.12945249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(2235.0/B44*100)</f>
        <v/>
      </c>
      <c r="D44" s="19" t="n">
        <v>456</v>
      </c>
      <c r="E44" s="18" t="n">
        <v>43.66944171</v>
      </c>
      <c r="F44" s="20" t="n">
        <v>2.74348687</v>
      </c>
      <c r="G44" s="18" t="n">
        <v>51.11849664</v>
      </c>
      <c r="H44" s="20" t="n">
        <v>2.95755228</v>
      </c>
      <c r="I44" s="18" t="s">
        <v>349</v>
      </c>
      <c r="J44" s="20" t="s">
        <v>349</v>
      </c>
      <c r="K44" s="18" t="n">
        <v>0.61492316</v>
      </c>
      <c r="L44" s="20" t="n">
        <v>0.45825425</v>
      </c>
      <c r="M44" s="18" t="n">
        <v>0</v>
      </c>
      <c r="N44" s="20" t="n">
        <v>0</v>
      </c>
      <c r="O44" s="18" t="n">
        <v>0</v>
      </c>
      <c r="P44" s="20" t="n">
        <v>0</v>
      </c>
      <c r="Q44" s="18" t="n">
        <v>4.59713849</v>
      </c>
      <c r="R44" s="20" t="n">
        <v>1.34901611</v>
      </c>
    </row>
    <row r="45" spans="1:18">
      <c r="A45" s="15" t="s">
        <v>387</v>
      </c>
      <c r="B45" s="17" t="n">
        <v>2670</v>
      </c>
      <c r="C45" s="18">
        <f>(2266.0/B45*100)</f>
        <v/>
      </c>
      <c r="D45" s="19" t="n">
        <v>404</v>
      </c>
      <c r="E45" s="18" t="n">
        <v>58.92762038</v>
      </c>
      <c r="F45" s="20" t="n">
        <v>2.63903213</v>
      </c>
      <c r="G45" s="18" t="n">
        <v>33.59263525</v>
      </c>
      <c r="H45" s="20" t="n">
        <v>2.62993081</v>
      </c>
      <c r="I45" s="18" t="s">
        <v>349</v>
      </c>
      <c r="J45" s="20" t="s">
        <v>349</v>
      </c>
      <c r="K45" s="18" t="n">
        <v>2.30144695</v>
      </c>
      <c r="L45" s="20" t="n">
        <v>0.7266363</v>
      </c>
      <c r="M45" s="18" t="n">
        <v>0</v>
      </c>
      <c r="N45" s="20" t="n">
        <v>0</v>
      </c>
      <c r="O45" s="18" t="n">
        <v>0</v>
      </c>
      <c r="P45" s="20" t="n">
        <v>0</v>
      </c>
      <c r="Q45" s="18" t="n">
        <v>5.17829742</v>
      </c>
      <c r="R45" s="20" t="n">
        <v>1.39799833</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(2792.0/B49*100)</f>
        <v/>
      </c>
      <c r="D49" s="19" t="n">
        <v>539</v>
      </c>
      <c r="E49" s="18" t="n">
        <v>53.93987689</v>
      </c>
      <c r="F49" s="20" t="n">
        <v>2.46578428</v>
      </c>
      <c r="G49" s="18" t="n">
        <v>40.94943148</v>
      </c>
      <c r="H49" s="20" t="n">
        <v>2.51250361</v>
      </c>
      <c r="I49" s="18" t="s">
        <v>349</v>
      </c>
      <c r="J49" s="20" t="s">
        <v>349</v>
      </c>
      <c r="K49" s="18" t="n">
        <v>1.69805715</v>
      </c>
      <c r="L49" s="20" t="n">
        <v>0.70743798</v>
      </c>
      <c r="M49" s="18" t="n">
        <v>0</v>
      </c>
      <c r="N49" s="20" t="n">
        <v>0</v>
      </c>
      <c r="O49" s="18" t="n">
        <v>0</v>
      </c>
      <c r="P49" s="20" t="n">
        <v>0</v>
      </c>
      <c r="Q49" s="18" t="n">
        <v>3.41263448</v>
      </c>
      <c r="R49" s="20" t="n">
        <v>0.87507754</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(2118.0/B55*100)</f>
        <v/>
      </c>
      <c r="D55" s="19" t="n">
        <v>439</v>
      </c>
      <c r="E55" s="18" t="n">
        <v>50.22476614</v>
      </c>
      <c r="F55" s="20" t="n">
        <v>2.44810529</v>
      </c>
      <c r="G55" s="18" t="n">
        <v>45.71258854</v>
      </c>
      <c r="H55" s="20" t="n">
        <v>2.50557123</v>
      </c>
      <c r="I55" s="18" t="s">
        <v>349</v>
      </c>
      <c r="J55" s="20" t="s">
        <v>349</v>
      </c>
      <c r="K55" s="18" t="n">
        <v>0.63239988</v>
      </c>
      <c r="L55" s="20" t="n">
        <v>0.3693421</v>
      </c>
      <c r="M55" s="18" t="n">
        <v>0.21416034</v>
      </c>
      <c r="N55" s="20" t="n">
        <v>0.21355321</v>
      </c>
      <c r="O55" s="18" t="n">
        <v>0</v>
      </c>
      <c r="P55" s="20" t="n">
        <v>0</v>
      </c>
      <c r="Q55" s="18" t="n">
        <v>3.2160851</v>
      </c>
      <c r="R55" s="20" t="n">
        <v>0.87192782</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(2789.0/B57*100)</f>
        <v/>
      </c>
      <c r="D57" s="19" t="n">
        <v>554</v>
      </c>
      <c r="E57" s="18" t="n">
        <v>57.72586199</v>
      </c>
      <c r="F57" s="20" t="n">
        <v>2.00484652</v>
      </c>
      <c r="G57" s="18" t="n">
        <v>40.16690901</v>
      </c>
      <c r="H57" s="20" t="n">
        <v>1.97725537</v>
      </c>
      <c r="I57" s="18" t="s">
        <v>349</v>
      </c>
      <c r="J57" s="20" t="s">
        <v>349</v>
      </c>
      <c r="K57" s="18" t="n">
        <v>0.60772899</v>
      </c>
      <c r="L57" s="20" t="n">
        <v>0.42281693</v>
      </c>
      <c r="M57" s="18" t="n">
        <v>0</v>
      </c>
      <c r="N57" s="20" t="n">
        <v>0</v>
      </c>
      <c r="O57" s="18" t="n">
        <v>0</v>
      </c>
      <c r="P57" s="20" t="n">
        <v>0</v>
      </c>
      <c r="Q57" s="18" t="n">
        <v>1.49950001</v>
      </c>
      <c r="R57" s="20" t="n">
        <v>0.63612736</v>
      </c>
    </row>
    <row r="58" spans="1:18">
      <c r="A58" s="15" t="s">
        <v>400</v>
      </c>
      <c r="B58" s="17" t="n">
        <v>3737</v>
      </c>
      <c r="C58" s="18">
        <f>(3120.0/B58*100)</f>
        <v/>
      </c>
      <c r="D58" s="19" t="n">
        <v>617</v>
      </c>
      <c r="E58" s="18" t="n">
        <v>60.63436947</v>
      </c>
      <c r="F58" s="20" t="n">
        <v>2.81503142</v>
      </c>
      <c r="G58" s="18" t="n">
        <v>37.32752562</v>
      </c>
      <c r="H58" s="20" t="n">
        <v>2.8185151</v>
      </c>
      <c r="I58" s="18" t="s">
        <v>349</v>
      </c>
      <c r="J58" s="20" t="s">
        <v>349</v>
      </c>
      <c r="K58" s="18" t="n">
        <v>0.62172572</v>
      </c>
      <c r="L58" s="20" t="n">
        <v>0.36125545</v>
      </c>
      <c r="M58" s="18" t="n">
        <v>0</v>
      </c>
      <c r="N58" s="20" t="n">
        <v>0</v>
      </c>
      <c r="O58" s="18" t="n">
        <v>0</v>
      </c>
      <c r="P58" s="20" t="n">
        <v>0</v>
      </c>
      <c r="Q58" s="18" t="n">
        <v>1.41637919</v>
      </c>
      <c r="R58" s="20" t="n">
        <v>0.56673208</v>
      </c>
    </row>
    <row r="59" spans="1:18">
      <c r="A59" s="15" t="s">
        <v>401</v>
      </c>
      <c r="B59" s="17" t="n">
        <v>2278</v>
      </c>
      <c r="C59" s="18">
        <f>(1920.0/B59*100)</f>
        <v/>
      </c>
      <c r="D59" s="19" t="n">
        <v>358</v>
      </c>
      <c r="E59" s="18" t="n">
        <v>75.1992168</v>
      </c>
      <c r="F59" s="20" t="n">
        <v>2.6656194</v>
      </c>
      <c r="G59" s="18" t="n">
        <v>23.63576583</v>
      </c>
      <c r="H59" s="20" t="n">
        <v>2.64932073</v>
      </c>
      <c r="I59" s="18" t="s">
        <v>349</v>
      </c>
      <c r="J59" s="20" t="s">
        <v>349</v>
      </c>
      <c r="K59" s="18" t="n">
        <v>0.41320345</v>
      </c>
      <c r="L59" s="20" t="n">
        <v>0.31968687</v>
      </c>
      <c r="M59" s="18" t="n">
        <v>0</v>
      </c>
      <c r="N59" s="20" t="n">
        <v>0</v>
      </c>
      <c r="O59" s="18" t="n">
        <v>0</v>
      </c>
      <c r="P59" s="20" t="n">
        <v>0</v>
      </c>
      <c r="Q59" s="18" t="n">
        <v>0.75181392</v>
      </c>
      <c r="R59" s="20" t="n">
        <v>0.40477279</v>
      </c>
    </row>
    <row r="60" spans="1:18">
      <c r="A60" s="15" t="s">
        <v>402</v>
      </c>
      <c r="B60" s="17" t="n">
        <v>2451</v>
      </c>
      <c r="C60" s="18">
        <f>(2043.0/B60*100)</f>
        <v/>
      </c>
      <c r="D60" s="19" t="n">
        <v>408</v>
      </c>
      <c r="E60" s="18" t="n">
        <v>41.84389294</v>
      </c>
      <c r="F60" s="20" t="n">
        <v>2.97341628</v>
      </c>
      <c r="G60" s="18" t="n">
        <v>55.44077224</v>
      </c>
      <c r="H60" s="20" t="n">
        <v>2.76154785</v>
      </c>
      <c r="I60" s="18" t="s">
        <v>349</v>
      </c>
      <c r="J60" s="20" t="s">
        <v>349</v>
      </c>
      <c r="K60" s="18" t="n">
        <v>0.84421846</v>
      </c>
      <c r="L60" s="20" t="n">
        <v>0.49379861</v>
      </c>
      <c r="M60" s="18" t="n">
        <v>0</v>
      </c>
      <c r="N60" s="20" t="n">
        <v>0</v>
      </c>
      <c r="O60" s="18" t="n">
        <v>0</v>
      </c>
      <c r="P60" s="20" t="n">
        <v>0</v>
      </c>
      <c r="Q60" s="18" t="n">
        <v>1.87111636</v>
      </c>
      <c r="R60" s="20" t="n">
        <v>0.54773641</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(2103.0/B63*100)</f>
        <v/>
      </c>
      <c r="D63" s="19" t="n">
        <v>408</v>
      </c>
      <c r="E63" s="18" t="n">
        <v>60.28710414</v>
      </c>
      <c r="F63" s="20" t="n">
        <v>2.68967296</v>
      </c>
      <c r="G63" s="18" t="n">
        <v>34.66893578</v>
      </c>
      <c r="H63" s="20" t="n">
        <v>2.42082593</v>
      </c>
      <c r="I63" s="18" t="s">
        <v>349</v>
      </c>
      <c r="J63" s="20" t="s">
        <v>349</v>
      </c>
      <c r="K63" s="18" t="n">
        <v>1.8386182</v>
      </c>
      <c r="L63" s="20" t="n">
        <v>0.73783307</v>
      </c>
      <c r="M63" s="18" t="n">
        <v>0</v>
      </c>
      <c r="N63" s="20" t="n">
        <v>0</v>
      </c>
      <c r="O63" s="18" t="n">
        <v>0</v>
      </c>
      <c r="P63" s="20" t="n">
        <v>0</v>
      </c>
      <c r="Q63" s="18" t="n">
        <v>3.20534188</v>
      </c>
      <c r="R63" s="20" t="n">
        <v>0.98513252</v>
      </c>
    </row>
    <row r="64" spans="1:18">
      <c r="A64" s="15" t="s">
        <v>406</v>
      </c>
      <c r="B64" s="17" t="n">
        <v>1790</v>
      </c>
      <c r="C64" s="18">
        <f>(1490.0/B64*100)</f>
        <v/>
      </c>
      <c r="D64" s="19" t="n">
        <v>300</v>
      </c>
      <c r="E64" s="18" t="n">
        <v>34.46665134</v>
      </c>
      <c r="F64" s="20" t="n">
        <v>2.82449742</v>
      </c>
      <c r="G64" s="18" t="n">
        <v>63.01213871</v>
      </c>
      <c r="H64" s="20" t="n">
        <v>2.66520298</v>
      </c>
      <c r="I64" s="18" t="s">
        <v>349</v>
      </c>
      <c r="J64" s="20" t="s">
        <v>349</v>
      </c>
      <c r="K64" s="18" t="n">
        <v>2.07059537</v>
      </c>
      <c r="L64" s="20" t="n">
        <v>0.91676802</v>
      </c>
      <c r="M64" s="18" t="n">
        <v>0</v>
      </c>
      <c r="N64" s="20" t="n">
        <v>0</v>
      </c>
      <c r="O64" s="18" t="n">
        <v>0</v>
      </c>
      <c r="P64" s="20" t="n">
        <v>0</v>
      </c>
      <c r="Q64" s="18" t="n">
        <v>0.45061459</v>
      </c>
      <c r="R64" s="20" t="n">
        <v>0.45324133</v>
      </c>
    </row>
    <row r="65" spans="1:18">
      <c r="A65" s="15" t="s">
        <v>407</v>
      </c>
      <c r="B65" s="17" t="n">
        <v>2634</v>
      </c>
      <c r="C65" s="18">
        <f>(2206.0/B65*100)</f>
        <v/>
      </c>
      <c r="D65" s="19" t="n">
        <v>428</v>
      </c>
      <c r="E65" s="18" t="n">
        <v>41.6111868</v>
      </c>
      <c r="F65" s="20" t="n">
        <v>2.77445277</v>
      </c>
      <c r="G65" s="18" t="n">
        <v>54.10465446</v>
      </c>
      <c r="H65" s="20" t="n">
        <v>2.76187062</v>
      </c>
      <c r="I65" s="18" t="s">
        <v>349</v>
      </c>
      <c r="J65" s="20" t="s">
        <v>349</v>
      </c>
      <c r="K65" s="18" t="n">
        <v>2.80076284</v>
      </c>
      <c r="L65" s="20" t="n">
        <v>0.70727028</v>
      </c>
      <c r="M65" s="18" t="n">
        <v>0</v>
      </c>
      <c r="N65" s="20" t="n">
        <v>0</v>
      </c>
      <c r="O65" s="18" t="n">
        <v>0</v>
      </c>
      <c r="P65" s="20" t="n">
        <v>0</v>
      </c>
      <c r="Q65" s="18" t="n">
        <v>1.48339589</v>
      </c>
      <c r="R65" s="20" t="n">
        <v>0.5710069800000001</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(2057.0/B69*100)</f>
        <v/>
      </c>
      <c r="D69" s="19" t="n">
        <v>409</v>
      </c>
      <c r="E69" s="18" t="n">
        <v>53.36481193</v>
      </c>
      <c r="F69" s="20" t="n">
        <v>2.7244744</v>
      </c>
      <c r="G69" s="18" t="n">
        <v>46.41013497</v>
      </c>
      <c r="H69" s="20" t="n">
        <v>2.76330747</v>
      </c>
      <c r="I69" s="18" t="s">
        <v>349</v>
      </c>
      <c r="J69" s="20" t="s">
        <v>349</v>
      </c>
      <c r="K69" s="18" t="n">
        <v>0</v>
      </c>
      <c r="L69" s="20" t="n">
        <v>0</v>
      </c>
      <c r="M69" s="18" t="n">
        <v>0</v>
      </c>
      <c r="N69" s="20" t="n">
        <v>0</v>
      </c>
      <c r="O69" s="18" t="n">
        <v>0</v>
      </c>
      <c r="P69" s="20" t="n">
        <v>0</v>
      </c>
      <c r="Q69" s="18" t="n">
        <v>0.2250531</v>
      </c>
      <c r="R69" s="20" t="n">
        <v>0.22482023</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46.40972485</v>
      </c>
      <c r="F74" s="20" t="n">
        <v>2.46030857</v>
      </c>
      <c r="G74" s="18" t="n">
        <v>46.65484545</v>
      </c>
      <c r="H74" s="20" t="n">
        <v>2.40207385</v>
      </c>
      <c r="I74" s="18" t="s">
        <v>349</v>
      </c>
      <c r="J74" s="20" t="s">
        <v>349</v>
      </c>
      <c r="K74" s="18" t="n">
        <v>4.64283829</v>
      </c>
      <c r="L74" s="20" t="n">
        <v>1.11893917</v>
      </c>
      <c r="M74" s="18" t="n">
        <v>0</v>
      </c>
      <c r="N74" s="20" t="n">
        <v>0</v>
      </c>
      <c r="O74" s="18" t="n">
        <v>0</v>
      </c>
      <c r="P74" s="20" t="n">
        <v>0</v>
      </c>
      <c r="Q74" s="18" t="n">
        <v>2.29259142</v>
      </c>
      <c r="R74" s="20" t="n">
        <v>0.59750598</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(2528.0/B78*100)</f>
        <v/>
      </c>
      <c r="D78" s="19" t="n">
        <v>512</v>
      </c>
      <c r="E78" s="18" t="n">
        <v>13.04994572</v>
      </c>
      <c r="F78" s="20" t="n">
        <v>1.66266663</v>
      </c>
      <c r="G78" s="18" t="n">
        <v>86.95005428</v>
      </c>
      <c r="H78" s="20" t="n">
        <v>1.66266663</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(725.0/B79*100)</f>
        <v/>
      </c>
      <c r="D79" s="19" t="n">
        <v>145</v>
      </c>
      <c r="E79" s="18" t="n">
        <v>39.6241672</v>
      </c>
      <c r="F79" s="20" t="n">
        <v>4.93341745</v>
      </c>
      <c r="G79" s="18" t="n">
        <v>55.19159343</v>
      </c>
      <c r="H79" s="20" t="n">
        <v>4.67608455</v>
      </c>
      <c r="I79" s="18" t="s">
        <v>349</v>
      </c>
      <c r="J79" s="20" t="s">
        <v>349</v>
      </c>
      <c r="K79" s="18" t="n">
        <v>1.50319344</v>
      </c>
      <c r="L79" s="20" t="n">
        <v>1.11328819</v>
      </c>
      <c r="M79" s="18" t="n">
        <v>0</v>
      </c>
      <c r="N79" s="20" t="n">
        <v>0</v>
      </c>
      <c r="O79" s="18" t="n">
        <v>0</v>
      </c>
      <c r="P79" s="20" t="n">
        <v>0</v>
      </c>
      <c r="Q79" s="18" t="n">
        <v>3.68104592</v>
      </c>
      <c r="R79" s="20" t="n">
        <v>1.77065413</v>
      </c>
    </row>
    <row r="80" spans="1:18">
      <c r="A80" s="15" t="s">
        <v>422</v>
      </c>
      <c r="B80" s="17" t="n">
        <v>4043</v>
      </c>
      <c r="C80" s="18">
        <f>(3360.0/B80*100)</f>
        <v/>
      </c>
      <c r="D80" s="19" t="n">
        <v>683</v>
      </c>
      <c r="E80" s="18" t="n">
        <v>44.40854963</v>
      </c>
      <c r="F80" s="20" t="n">
        <v>3.01590137</v>
      </c>
      <c r="G80" s="18" t="n">
        <v>55.18537905</v>
      </c>
      <c r="H80" s="20" t="n">
        <v>3.04220028</v>
      </c>
      <c r="I80" s="18" t="s">
        <v>349</v>
      </c>
      <c r="J80" s="20" t="s">
        <v>349</v>
      </c>
      <c r="K80" s="18" t="n">
        <v>0</v>
      </c>
      <c r="L80" s="20" t="n">
        <v>0</v>
      </c>
      <c r="M80" s="18" t="n">
        <v>0</v>
      </c>
      <c r="N80" s="20" t="n">
        <v>0</v>
      </c>
      <c r="O80" s="18" t="n">
        <v>0</v>
      </c>
      <c r="P80" s="20" t="n">
        <v>0</v>
      </c>
      <c r="Q80" s="18" t="n">
        <v>0.40607131</v>
      </c>
      <c r="R80" s="20" t="n">
        <v>0.37112122</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(2235.0/B44*100)</f>
        <v/>
      </c>
      <c r="D44" s="19" t="n">
        <v>456</v>
      </c>
      <c r="E44" s="18" t="n">
        <v>65.95419364999999</v>
      </c>
      <c r="F44" s="20" t="n">
        <v>3.25603007</v>
      </c>
      <c r="G44" s="18" t="n">
        <v>29.25661498</v>
      </c>
      <c r="H44" s="20" t="n">
        <v>3.15734564</v>
      </c>
      <c r="I44" s="18" t="s">
        <v>349</v>
      </c>
      <c r="J44" s="20" t="s">
        <v>349</v>
      </c>
      <c r="K44" s="18" t="n">
        <v>0.61492316</v>
      </c>
      <c r="L44" s="20" t="n">
        <v>0.45825425</v>
      </c>
      <c r="M44" s="18" t="n">
        <v>0</v>
      </c>
      <c r="N44" s="20" t="n">
        <v>0</v>
      </c>
      <c r="O44" s="18" t="n">
        <v>0</v>
      </c>
      <c r="P44" s="20" t="n">
        <v>0</v>
      </c>
      <c r="Q44" s="18" t="n">
        <v>4.17426821</v>
      </c>
      <c r="R44" s="20" t="n">
        <v>1.30093664</v>
      </c>
    </row>
    <row r="45" spans="1:18">
      <c r="A45" s="15" t="s">
        <v>387</v>
      </c>
      <c r="B45" s="17" t="n">
        <v>2670</v>
      </c>
      <c r="C45" s="18">
        <f>(2266.0/B45*100)</f>
        <v/>
      </c>
      <c r="D45" s="19" t="n">
        <v>404</v>
      </c>
      <c r="E45" s="18" t="n">
        <v>75.79274207</v>
      </c>
      <c r="F45" s="20" t="n">
        <v>2.39900465</v>
      </c>
      <c r="G45" s="18" t="n">
        <v>16.11307261</v>
      </c>
      <c r="H45" s="20" t="n">
        <v>2.06903173</v>
      </c>
      <c r="I45" s="18" t="s">
        <v>349</v>
      </c>
      <c r="J45" s="20" t="s">
        <v>349</v>
      </c>
      <c r="K45" s="18" t="n">
        <v>3.10780286</v>
      </c>
      <c r="L45" s="20" t="n">
        <v>0.87996587</v>
      </c>
      <c r="M45" s="18" t="n">
        <v>0</v>
      </c>
      <c r="N45" s="20" t="n">
        <v>0</v>
      </c>
      <c r="O45" s="18" t="n">
        <v>0</v>
      </c>
      <c r="P45" s="20" t="n">
        <v>0</v>
      </c>
      <c r="Q45" s="18" t="n">
        <v>4.98638246</v>
      </c>
      <c r="R45" s="20" t="n">
        <v>1.37609252</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(2792.0/B49*100)</f>
        <v/>
      </c>
      <c r="D49" s="19" t="n">
        <v>539</v>
      </c>
      <c r="E49" s="18" t="n">
        <v>78.77462692</v>
      </c>
      <c r="F49" s="20" t="n">
        <v>2.17184027</v>
      </c>
      <c r="G49" s="18" t="n">
        <v>15.86277593</v>
      </c>
      <c r="H49" s="20" t="n">
        <v>1.9237991</v>
      </c>
      <c r="I49" s="18" t="s">
        <v>349</v>
      </c>
      <c r="J49" s="20" t="s">
        <v>349</v>
      </c>
      <c r="K49" s="18" t="n">
        <v>1.95665301</v>
      </c>
      <c r="L49" s="20" t="n">
        <v>0.75900199</v>
      </c>
      <c r="M49" s="18" t="n">
        <v>0</v>
      </c>
      <c r="N49" s="20" t="n">
        <v>0</v>
      </c>
      <c r="O49" s="18" t="n">
        <v>0</v>
      </c>
      <c r="P49" s="20" t="n">
        <v>0</v>
      </c>
      <c r="Q49" s="18" t="n">
        <v>3.40594414</v>
      </c>
      <c r="R49" s="20" t="n">
        <v>0.9318075300000001</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(2118.0/B55*100)</f>
        <v/>
      </c>
      <c r="D55" s="19" t="n">
        <v>439</v>
      </c>
      <c r="E55" s="18" t="n">
        <v>72.40823679</v>
      </c>
      <c r="F55" s="20" t="n">
        <v>2.82491875</v>
      </c>
      <c r="G55" s="18" t="n">
        <v>23.64017113</v>
      </c>
      <c r="H55" s="20" t="n">
        <v>2.6020287</v>
      </c>
      <c r="I55" s="18" t="s">
        <v>349</v>
      </c>
      <c r="J55" s="20" t="s">
        <v>349</v>
      </c>
      <c r="K55" s="18" t="n">
        <v>0.63239988</v>
      </c>
      <c r="L55" s="20" t="n">
        <v>0.3693421</v>
      </c>
      <c r="M55" s="18" t="n">
        <v>0.21416034</v>
      </c>
      <c r="N55" s="20" t="n">
        <v>0.21355321</v>
      </c>
      <c r="O55" s="18" t="n">
        <v>0</v>
      </c>
      <c r="P55" s="20" t="n">
        <v>0</v>
      </c>
      <c r="Q55" s="18" t="n">
        <v>3.10503185</v>
      </c>
      <c r="R55" s="20" t="n">
        <v>0.80148815</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(2789.0/B57*100)</f>
        <v/>
      </c>
      <c r="D57" s="19" t="n">
        <v>554</v>
      </c>
      <c r="E57" s="18" t="n">
        <v>84.12375616999999</v>
      </c>
      <c r="F57" s="20" t="n">
        <v>1.67349304</v>
      </c>
      <c r="G57" s="18" t="n">
        <v>14.33839194</v>
      </c>
      <c r="H57" s="20" t="n">
        <v>1.69254206</v>
      </c>
      <c r="I57" s="18" t="s">
        <v>349</v>
      </c>
      <c r="J57" s="20" t="s">
        <v>349</v>
      </c>
      <c r="K57" s="18" t="n">
        <v>0.76179551</v>
      </c>
      <c r="L57" s="20" t="n">
        <v>0.44743049</v>
      </c>
      <c r="M57" s="18" t="n">
        <v>0</v>
      </c>
      <c r="N57" s="20" t="n">
        <v>0</v>
      </c>
      <c r="O57" s="18" t="n">
        <v>0</v>
      </c>
      <c r="P57" s="20" t="n">
        <v>0</v>
      </c>
      <c r="Q57" s="18" t="n">
        <v>0.77605638</v>
      </c>
      <c r="R57" s="20" t="n">
        <v>0.43812447</v>
      </c>
    </row>
    <row r="58" spans="1:18">
      <c r="A58" s="15" t="s">
        <v>400</v>
      </c>
      <c r="B58" s="17" t="n">
        <v>3737</v>
      </c>
      <c r="C58" s="18">
        <f>(3120.0/B58*100)</f>
        <v/>
      </c>
      <c r="D58" s="19" t="n">
        <v>617</v>
      </c>
      <c r="E58" s="18" t="n">
        <v>80.45957247</v>
      </c>
      <c r="F58" s="20" t="n">
        <v>2.05116847</v>
      </c>
      <c r="G58" s="18" t="n">
        <v>17.40823266</v>
      </c>
      <c r="H58" s="20" t="n">
        <v>2.04267986</v>
      </c>
      <c r="I58" s="18" t="s">
        <v>349</v>
      </c>
      <c r="J58" s="20" t="s">
        <v>349</v>
      </c>
      <c r="K58" s="18" t="n">
        <v>0.62172572</v>
      </c>
      <c r="L58" s="20" t="n">
        <v>0.36125545</v>
      </c>
      <c r="M58" s="18" t="n">
        <v>0</v>
      </c>
      <c r="N58" s="20" t="n">
        <v>0</v>
      </c>
      <c r="O58" s="18" t="n">
        <v>0</v>
      </c>
      <c r="P58" s="20" t="n">
        <v>0</v>
      </c>
      <c r="Q58" s="18" t="n">
        <v>1.51046915</v>
      </c>
      <c r="R58" s="20" t="n">
        <v>0.55002398</v>
      </c>
    </row>
    <row r="59" spans="1:18">
      <c r="A59" s="15" t="s">
        <v>401</v>
      </c>
      <c r="B59" s="17" t="n">
        <v>2278</v>
      </c>
      <c r="C59" s="18">
        <f>(1920.0/B59*100)</f>
        <v/>
      </c>
      <c r="D59" s="19" t="n">
        <v>358</v>
      </c>
      <c r="E59" s="18" t="n">
        <v>91.21962233000001</v>
      </c>
      <c r="F59" s="20" t="n">
        <v>1.48992325</v>
      </c>
      <c r="G59" s="18" t="n">
        <v>7.14705671</v>
      </c>
      <c r="H59" s="20" t="n">
        <v>1.37175893</v>
      </c>
      <c r="I59" s="18" t="s">
        <v>349</v>
      </c>
      <c r="J59" s="20" t="s">
        <v>349</v>
      </c>
      <c r="K59" s="18" t="n">
        <v>0.41320345</v>
      </c>
      <c r="L59" s="20" t="n">
        <v>0.31968687</v>
      </c>
      <c r="M59" s="18" t="n">
        <v>0</v>
      </c>
      <c r="N59" s="20" t="n">
        <v>0</v>
      </c>
      <c r="O59" s="18" t="n">
        <v>0</v>
      </c>
      <c r="P59" s="20" t="n">
        <v>0</v>
      </c>
      <c r="Q59" s="18" t="n">
        <v>1.22011751</v>
      </c>
      <c r="R59" s="20" t="n">
        <v>0.4770727</v>
      </c>
    </row>
    <row r="60" spans="1:18">
      <c r="A60" s="15" t="s">
        <v>402</v>
      </c>
      <c r="B60" s="17" t="n">
        <v>2451</v>
      </c>
      <c r="C60" s="18">
        <f>(2043.0/B60*100)</f>
        <v/>
      </c>
      <c r="D60" s="19" t="n">
        <v>408</v>
      </c>
      <c r="E60" s="18" t="n">
        <v>49.1788855</v>
      </c>
      <c r="F60" s="20" t="n">
        <v>2.78018961</v>
      </c>
      <c r="G60" s="18" t="n">
        <v>47.56993451</v>
      </c>
      <c r="H60" s="20" t="n">
        <v>2.87733147</v>
      </c>
      <c r="I60" s="18" t="s">
        <v>349</v>
      </c>
      <c r="J60" s="20" t="s">
        <v>349</v>
      </c>
      <c r="K60" s="18" t="n">
        <v>1.73627206</v>
      </c>
      <c r="L60" s="20" t="n">
        <v>0.48343934</v>
      </c>
      <c r="M60" s="18" t="n">
        <v>0</v>
      </c>
      <c r="N60" s="20" t="n">
        <v>0</v>
      </c>
      <c r="O60" s="18" t="n">
        <v>0</v>
      </c>
      <c r="P60" s="20" t="n">
        <v>0</v>
      </c>
      <c r="Q60" s="18" t="n">
        <v>1.51490793</v>
      </c>
      <c r="R60" s="20" t="n">
        <v>0.58447058</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(2103.0/B63*100)</f>
        <v/>
      </c>
      <c r="D63" s="19" t="n">
        <v>408</v>
      </c>
      <c r="E63" s="18" t="n">
        <v>79.63244022000001</v>
      </c>
      <c r="F63" s="20" t="n">
        <v>2.16125988</v>
      </c>
      <c r="G63" s="18" t="n">
        <v>15.14029863</v>
      </c>
      <c r="H63" s="20" t="n">
        <v>2.05780764</v>
      </c>
      <c r="I63" s="18" t="s">
        <v>349</v>
      </c>
      <c r="J63" s="20" t="s">
        <v>349</v>
      </c>
      <c r="K63" s="18" t="n">
        <v>1.8386182</v>
      </c>
      <c r="L63" s="20" t="n">
        <v>0.73783307</v>
      </c>
      <c r="M63" s="18" t="n">
        <v>0</v>
      </c>
      <c r="N63" s="20" t="n">
        <v>0</v>
      </c>
      <c r="O63" s="18" t="n">
        <v>0</v>
      </c>
      <c r="P63" s="20" t="n">
        <v>0</v>
      </c>
      <c r="Q63" s="18" t="n">
        <v>3.38864295</v>
      </c>
      <c r="R63" s="20" t="n">
        <v>0.97404358</v>
      </c>
    </row>
    <row r="64" spans="1:18">
      <c r="A64" s="15" t="s">
        <v>406</v>
      </c>
      <c r="B64" s="17" t="n">
        <v>1790</v>
      </c>
      <c r="C64" s="18">
        <f>(1490.0/B64*100)</f>
        <v/>
      </c>
      <c r="D64" s="19" t="n">
        <v>300</v>
      </c>
      <c r="E64" s="18" t="n">
        <v>55.95508484</v>
      </c>
      <c r="F64" s="20" t="n">
        <v>2.98315479</v>
      </c>
      <c r="G64" s="18" t="n">
        <v>41.07309061</v>
      </c>
      <c r="H64" s="20" t="n">
        <v>3.00187303</v>
      </c>
      <c r="I64" s="18" t="s">
        <v>349</v>
      </c>
      <c r="J64" s="20" t="s">
        <v>349</v>
      </c>
      <c r="K64" s="18" t="n">
        <v>2.07059537</v>
      </c>
      <c r="L64" s="20" t="n">
        <v>0.91676802</v>
      </c>
      <c r="M64" s="18" t="n">
        <v>0</v>
      </c>
      <c r="N64" s="20" t="n">
        <v>0</v>
      </c>
      <c r="O64" s="18" t="n">
        <v>0.45061459</v>
      </c>
      <c r="P64" s="20" t="n">
        <v>0.44811614</v>
      </c>
      <c r="Q64" s="18" t="n">
        <v>0.45061459</v>
      </c>
      <c r="R64" s="20" t="n">
        <v>0.45324133</v>
      </c>
    </row>
    <row r="65" spans="1:18">
      <c r="A65" s="15" t="s">
        <v>407</v>
      </c>
      <c r="B65" s="17" t="n">
        <v>2634</v>
      </c>
      <c r="C65" s="18">
        <f>(2206.0/B65*100)</f>
        <v/>
      </c>
      <c r="D65" s="19" t="n">
        <v>428</v>
      </c>
      <c r="E65" s="18" t="n">
        <v>68.89609131</v>
      </c>
      <c r="F65" s="20" t="n">
        <v>2.241772</v>
      </c>
      <c r="G65" s="18" t="n">
        <v>26.23300826</v>
      </c>
      <c r="H65" s="20" t="n">
        <v>2.00870696</v>
      </c>
      <c r="I65" s="18" t="s">
        <v>349</v>
      </c>
      <c r="J65" s="20" t="s">
        <v>349</v>
      </c>
      <c r="K65" s="18" t="n">
        <v>3.00086086</v>
      </c>
      <c r="L65" s="20" t="n">
        <v>0.72940355</v>
      </c>
      <c r="M65" s="18" t="n">
        <v>0</v>
      </c>
      <c r="N65" s="20" t="n">
        <v>0</v>
      </c>
      <c r="O65" s="18" t="n">
        <v>0</v>
      </c>
      <c r="P65" s="20" t="n">
        <v>0</v>
      </c>
      <c r="Q65" s="18" t="n">
        <v>1.87003957</v>
      </c>
      <c r="R65" s="20" t="n">
        <v>0.69320846</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(2057.0/B69*100)</f>
        <v/>
      </c>
      <c r="D69" s="19" t="n">
        <v>409</v>
      </c>
      <c r="E69" s="18" t="n">
        <v>68.83258676</v>
      </c>
      <c r="F69" s="20" t="n">
        <v>3.03076082</v>
      </c>
      <c r="G69" s="18" t="n">
        <v>31.16741324</v>
      </c>
      <c r="H69" s="20" t="n">
        <v>3.03076082</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82.90733975000001</v>
      </c>
      <c r="F74" s="20" t="n">
        <v>2.04188135</v>
      </c>
      <c r="G74" s="18" t="n">
        <v>9.846487809999999</v>
      </c>
      <c r="H74" s="20" t="n">
        <v>1.68946061</v>
      </c>
      <c r="I74" s="18" t="s">
        <v>349</v>
      </c>
      <c r="J74" s="20" t="s">
        <v>349</v>
      </c>
      <c r="K74" s="18" t="n">
        <v>4.64283829</v>
      </c>
      <c r="L74" s="20" t="n">
        <v>1.11893917</v>
      </c>
      <c r="M74" s="18" t="n">
        <v>0</v>
      </c>
      <c r="N74" s="20" t="n">
        <v>0</v>
      </c>
      <c r="O74" s="18" t="n">
        <v>0</v>
      </c>
      <c r="P74" s="20" t="n">
        <v>0</v>
      </c>
      <c r="Q74" s="18" t="n">
        <v>2.60333416</v>
      </c>
      <c r="R74" s="20" t="n">
        <v>0.84689646</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(2528.0/B78*100)</f>
        <v/>
      </c>
      <c r="D78" s="19" t="n">
        <v>512</v>
      </c>
      <c r="E78" s="18" t="n">
        <v>37.81047036</v>
      </c>
      <c r="F78" s="20" t="n">
        <v>2.22718907</v>
      </c>
      <c r="G78" s="18" t="n">
        <v>62.18952964</v>
      </c>
      <c r="H78" s="20" t="n">
        <v>2.22718907</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(725.0/B79*100)</f>
        <v/>
      </c>
      <c r="D79" s="19" t="n">
        <v>145</v>
      </c>
      <c r="E79" s="18" t="n">
        <v>75.97563771999999</v>
      </c>
      <c r="F79" s="20" t="n">
        <v>4.17020214</v>
      </c>
      <c r="G79" s="18" t="n">
        <v>20.03058282</v>
      </c>
      <c r="H79" s="20" t="n">
        <v>4.06461017</v>
      </c>
      <c r="I79" s="18" t="s">
        <v>349</v>
      </c>
      <c r="J79" s="20" t="s">
        <v>349</v>
      </c>
      <c r="K79" s="18" t="n">
        <v>1.50319344</v>
      </c>
      <c r="L79" s="20" t="n">
        <v>1.11328819</v>
      </c>
      <c r="M79" s="18" t="n">
        <v>0</v>
      </c>
      <c r="N79" s="20" t="n">
        <v>0</v>
      </c>
      <c r="O79" s="18" t="n">
        <v>0</v>
      </c>
      <c r="P79" s="20" t="n">
        <v>0</v>
      </c>
      <c r="Q79" s="18" t="n">
        <v>2.49058602</v>
      </c>
      <c r="R79" s="20" t="n">
        <v>1.38055263</v>
      </c>
    </row>
    <row r="80" spans="1:18">
      <c r="A80" s="15" t="s">
        <v>422</v>
      </c>
      <c r="B80" s="17" t="n">
        <v>4043</v>
      </c>
      <c r="C80" s="18">
        <f>(3360.0/B80*100)</f>
        <v/>
      </c>
      <c r="D80" s="19" t="n">
        <v>683</v>
      </c>
      <c r="E80" s="18" t="n">
        <v>72.67064833000001</v>
      </c>
      <c r="F80" s="20" t="n">
        <v>2.72563633</v>
      </c>
      <c r="G80" s="18" t="n">
        <v>27.09535368</v>
      </c>
      <c r="H80" s="20" t="n">
        <v>2.75021805</v>
      </c>
      <c r="I80" s="18" t="s">
        <v>349</v>
      </c>
      <c r="J80" s="20" t="s">
        <v>349</v>
      </c>
      <c r="K80" s="18" t="n">
        <v>0</v>
      </c>
      <c r="L80" s="20" t="n">
        <v>0</v>
      </c>
      <c r="M80" s="18" t="n">
        <v>0</v>
      </c>
      <c r="N80" s="20" t="n">
        <v>0</v>
      </c>
      <c r="O80" s="18" t="n">
        <v>0</v>
      </c>
      <c r="P80" s="20" t="n">
        <v>0</v>
      </c>
      <c r="Q80" s="18" t="n">
        <v>0.23399799</v>
      </c>
      <c r="R80" s="20" t="n">
        <v>0.32908387</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586</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row>
    <row r="12" spans="1:20">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row>
    <row r="29" spans="1:20">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2691</v>
      </c>
      <c r="C44" s="18">
        <f>(2235.0/B44*100)</f>
        <v/>
      </c>
      <c r="D44" s="19" t="n">
        <v>456</v>
      </c>
      <c r="E44" s="18" t="n">
        <v>28.68893944</v>
      </c>
      <c r="F44" s="20" t="n">
        <v>2.34248936</v>
      </c>
      <c r="G44" s="18" t="n">
        <v>5.32519626</v>
      </c>
      <c r="H44" s="20" t="n">
        <v>1.26004897</v>
      </c>
      <c r="I44" s="18" t="n">
        <v>24.9142268</v>
      </c>
      <c r="J44" s="20" t="n">
        <v>2.79178476</v>
      </c>
      <c r="K44" s="18" t="s">
        <v>349</v>
      </c>
      <c r="L44" s="20" t="s">
        <v>349</v>
      </c>
      <c r="M44" s="18" t="n">
        <v>1.82683133</v>
      </c>
      <c r="N44" s="20" t="n">
        <v>0.65309764</v>
      </c>
      <c r="O44" s="18" t="n">
        <v>0</v>
      </c>
      <c r="P44" s="20" t="n">
        <v>0</v>
      </c>
      <c r="Q44" s="18" t="n">
        <v>0</v>
      </c>
      <c r="R44" s="20" t="n">
        <v>0</v>
      </c>
      <c r="S44" s="18" t="n">
        <v>39.24480616</v>
      </c>
      <c r="T44" s="20" t="n">
        <v>2.70782371</v>
      </c>
    </row>
    <row r="45" spans="1:20">
      <c r="A45" s="15" t="s">
        <v>387</v>
      </c>
      <c r="B45" s="17" t="n">
        <v>2670</v>
      </c>
      <c r="C45" s="18">
        <f>(2266.0/B45*100)</f>
        <v/>
      </c>
      <c r="D45" s="19" t="n">
        <v>404</v>
      </c>
      <c r="E45" s="18" t="n">
        <v>40.03594337</v>
      </c>
      <c r="F45" s="20" t="n">
        <v>2.60024431</v>
      </c>
      <c r="G45" s="18" t="n">
        <v>4.87652886</v>
      </c>
      <c r="H45" s="20" t="n">
        <v>0.9941312</v>
      </c>
      <c r="I45" s="18" t="n">
        <v>19.27438164</v>
      </c>
      <c r="J45" s="20" t="n">
        <v>2.69188168</v>
      </c>
      <c r="K45" s="18" t="s">
        <v>349</v>
      </c>
      <c r="L45" s="20" t="s">
        <v>349</v>
      </c>
      <c r="M45" s="18" t="n">
        <v>4.12716897</v>
      </c>
      <c r="N45" s="20" t="n">
        <v>1.03301831</v>
      </c>
      <c r="O45" s="18" t="n">
        <v>0</v>
      </c>
      <c r="P45" s="20" t="n">
        <v>0</v>
      </c>
      <c r="Q45" s="18" t="n">
        <v>0</v>
      </c>
      <c r="R45" s="20" t="n">
        <v>0</v>
      </c>
      <c r="S45" s="18" t="n">
        <v>31.68597717</v>
      </c>
      <c r="T45" s="20" t="n">
        <v>2.62542772</v>
      </c>
    </row>
    <row r="46" spans="1:20">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row>
    <row r="47" spans="1:20">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row>
    <row r="48" spans="1:20">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3331</v>
      </c>
      <c r="C49" s="18">
        <f>(2792.0/B49*100)</f>
        <v/>
      </c>
      <c r="D49" s="19" t="n">
        <v>539</v>
      </c>
      <c r="E49" s="18" t="n">
        <v>36.69200833</v>
      </c>
      <c r="F49" s="20" t="n">
        <v>2.40173705</v>
      </c>
      <c r="G49" s="18" t="n">
        <v>2.32253018</v>
      </c>
      <c r="H49" s="20" t="n">
        <v>0.83406337</v>
      </c>
      <c r="I49" s="18" t="n">
        <v>12.8787514</v>
      </c>
      <c r="J49" s="20" t="n">
        <v>1.7615048</v>
      </c>
      <c r="K49" s="18" t="s">
        <v>349</v>
      </c>
      <c r="L49" s="20" t="s">
        <v>349</v>
      </c>
      <c r="M49" s="18" t="n">
        <v>2.95578451</v>
      </c>
      <c r="N49" s="20" t="n">
        <v>0.92763678</v>
      </c>
      <c r="O49" s="18" t="n">
        <v>0</v>
      </c>
      <c r="P49" s="20" t="n">
        <v>0</v>
      </c>
      <c r="Q49" s="18" t="n">
        <v>0</v>
      </c>
      <c r="R49" s="20" t="n">
        <v>0</v>
      </c>
      <c r="S49" s="18" t="n">
        <v>45.15092558</v>
      </c>
      <c r="T49" s="20" t="n">
        <v>2.7252956</v>
      </c>
    </row>
    <row r="50" spans="1:20">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row>
    <row r="51" spans="1:20">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row>
    <row r="52" spans="1:20">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row>
    <row r="54" spans="1:20">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row>
    <row r="55" spans="1:20">
      <c r="A55" s="15" t="s">
        <v>397</v>
      </c>
      <c r="B55" s="17" t="n">
        <v>2557</v>
      </c>
      <c r="C55" s="18">
        <f>(2118.0/B55*100)</f>
        <v/>
      </c>
      <c r="D55" s="19" t="n">
        <v>439</v>
      </c>
      <c r="E55" s="18" t="n">
        <v>28.01370265</v>
      </c>
      <c r="F55" s="20" t="n">
        <v>2.34805325</v>
      </c>
      <c r="G55" s="18" t="n">
        <v>3.17373761</v>
      </c>
      <c r="H55" s="20" t="n">
        <v>0.66382589</v>
      </c>
      <c r="I55" s="18" t="n">
        <v>12.94422918</v>
      </c>
      <c r="J55" s="20" t="n">
        <v>1.79821535</v>
      </c>
      <c r="K55" s="18" t="s">
        <v>349</v>
      </c>
      <c r="L55" s="20" t="s">
        <v>349</v>
      </c>
      <c r="M55" s="18" t="n">
        <v>2.35984343</v>
      </c>
      <c r="N55" s="20" t="n">
        <v>0.75315797</v>
      </c>
      <c r="O55" s="18" t="n">
        <v>0.21416034</v>
      </c>
      <c r="P55" s="20" t="n">
        <v>0.21355321</v>
      </c>
      <c r="Q55" s="18" t="n">
        <v>0</v>
      </c>
      <c r="R55" s="20" t="n">
        <v>0</v>
      </c>
      <c r="S55" s="18" t="n">
        <v>53.29432678</v>
      </c>
      <c r="T55" s="20" t="n">
        <v>2.56252553</v>
      </c>
    </row>
    <row r="56" spans="1:20">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3343</v>
      </c>
      <c r="C57" s="18">
        <f>(2789.0/B57*100)</f>
        <v/>
      </c>
      <c r="D57" s="19" t="n">
        <v>554</v>
      </c>
      <c r="E57" s="18" t="n">
        <v>68.05985809000001</v>
      </c>
      <c r="F57" s="20" t="n">
        <v>2.34254699</v>
      </c>
      <c r="G57" s="18" t="n">
        <v>2.31764672</v>
      </c>
      <c r="H57" s="20" t="n">
        <v>0.70570434</v>
      </c>
      <c r="I57" s="18" t="n">
        <v>12.5406456</v>
      </c>
      <c r="J57" s="20" t="n">
        <v>1.53446123</v>
      </c>
      <c r="K57" s="18" t="s">
        <v>349</v>
      </c>
      <c r="L57" s="20" t="s">
        <v>349</v>
      </c>
      <c r="M57" s="18" t="n">
        <v>1.25877548</v>
      </c>
      <c r="N57" s="20" t="n">
        <v>0.53917272</v>
      </c>
      <c r="O57" s="18" t="n">
        <v>0</v>
      </c>
      <c r="P57" s="20" t="n">
        <v>0</v>
      </c>
      <c r="Q57" s="18" t="n">
        <v>0</v>
      </c>
      <c r="R57" s="20" t="n">
        <v>0</v>
      </c>
      <c r="S57" s="18" t="n">
        <v>15.82307411</v>
      </c>
      <c r="T57" s="20" t="n">
        <v>2.0541131</v>
      </c>
    </row>
    <row r="58" spans="1:20">
      <c r="A58" s="15" t="s">
        <v>400</v>
      </c>
      <c r="B58" s="17" t="n">
        <v>3737</v>
      </c>
      <c r="C58" s="18">
        <f>(3120.0/B58*100)</f>
        <v/>
      </c>
      <c r="D58" s="19" t="n">
        <v>617</v>
      </c>
      <c r="E58" s="18" t="n">
        <v>62.51266832</v>
      </c>
      <c r="F58" s="20" t="n">
        <v>3.13878058</v>
      </c>
      <c r="G58" s="18" t="n">
        <v>2.78807226</v>
      </c>
      <c r="H58" s="20" t="n">
        <v>1.13423563</v>
      </c>
      <c r="I58" s="18" t="n">
        <v>10.30478653</v>
      </c>
      <c r="J58" s="20" t="n">
        <v>2.09768868</v>
      </c>
      <c r="K58" s="18" t="s">
        <v>349</v>
      </c>
      <c r="L58" s="20" t="s">
        <v>349</v>
      </c>
      <c r="M58" s="18" t="n">
        <v>1.18598918</v>
      </c>
      <c r="N58" s="20" t="n">
        <v>0.46612841</v>
      </c>
      <c r="O58" s="18" t="n">
        <v>0</v>
      </c>
      <c r="P58" s="20" t="n">
        <v>0</v>
      </c>
      <c r="Q58" s="18" t="n">
        <v>0</v>
      </c>
      <c r="R58" s="20" t="n">
        <v>0</v>
      </c>
      <c r="S58" s="18" t="n">
        <v>23.2084837</v>
      </c>
      <c r="T58" s="20" t="n">
        <v>1.95538631</v>
      </c>
    </row>
    <row r="59" spans="1:20">
      <c r="A59" s="15" t="s">
        <v>401</v>
      </c>
      <c r="B59" s="17" t="n">
        <v>2278</v>
      </c>
      <c r="C59" s="18">
        <f>(1920.0/B59*100)</f>
        <v/>
      </c>
      <c r="D59" s="19" t="n">
        <v>358</v>
      </c>
      <c r="E59" s="18" t="n">
        <v>59.35124804</v>
      </c>
      <c r="F59" s="20" t="n">
        <v>3.33000691</v>
      </c>
      <c r="G59" s="18" t="n">
        <v>0.79847094</v>
      </c>
      <c r="H59" s="20" t="n">
        <v>0.57314985</v>
      </c>
      <c r="I59" s="18" t="n">
        <v>6.86032395</v>
      </c>
      <c r="J59" s="20" t="n">
        <v>1.62592637</v>
      </c>
      <c r="K59" s="18" t="s">
        <v>349</v>
      </c>
      <c r="L59" s="20" t="s">
        <v>349</v>
      </c>
      <c r="M59" s="18" t="n">
        <v>2.54302772</v>
      </c>
      <c r="N59" s="20" t="n">
        <v>1.4113272</v>
      </c>
      <c r="O59" s="18" t="n">
        <v>0</v>
      </c>
      <c r="P59" s="20" t="n">
        <v>0</v>
      </c>
      <c r="Q59" s="18" t="n">
        <v>0</v>
      </c>
      <c r="R59" s="20" t="n">
        <v>0</v>
      </c>
      <c r="S59" s="18" t="n">
        <v>30.44692935</v>
      </c>
      <c r="T59" s="20" t="n">
        <v>2.84036868</v>
      </c>
    </row>
    <row r="60" spans="1:20">
      <c r="A60" s="15" t="s">
        <v>402</v>
      </c>
      <c r="B60" s="17" t="n">
        <v>2451</v>
      </c>
      <c r="C60" s="18">
        <f>(2043.0/B60*100)</f>
        <v/>
      </c>
      <c r="D60" s="19" t="n">
        <v>408</v>
      </c>
      <c r="E60" s="18" t="n">
        <v>37.84110702</v>
      </c>
      <c r="F60" s="20" t="n">
        <v>2.48815112</v>
      </c>
      <c r="G60" s="18" t="n">
        <v>3.02844172</v>
      </c>
      <c r="H60" s="20" t="n">
        <v>0.90446023</v>
      </c>
      <c r="I60" s="18" t="n">
        <v>28.0251958</v>
      </c>
      <c r="J60" s="20" t="n">
        <v>2.31904238</v>
      </c>
      <c r="K60" s="18" t="s">
        <v>349</v>
      </c>
      <c r="L60" s="20" t="s">
        <v>349</v>
      </c>
      <c r="M60" s="18" t="n">
        <v>3.96537119</v>
      </c>
      <c r="N60" s="20" t="n">
        <v>0.91853231</v>
      </c>
      <c r="O60" s="18" t="n">
        <v>0</v>
      </c>
      <c r="P60" s="20" t="n">
        <v>0</v>
      </c>
      <c r="Q60" s="18" t="n">
        <v>0.29929063</v>
      </c>
      <c r="R60" s="20" t="n">
        <v>0.33935414</v>
      </c>
      <c r="S60" s="18" t="n">
        <v>26.84059365</v>
      </c>
      <c r="T60" s="20" t="n">
        <v>2.18931308</v>
      </c>
    </row>
    <row r="61" spans="1:20">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2511</v>
      </c>
      <c r="C63" s="18">
        <f>(2103.0/B63*100)</f>
        <v/>
      </c>
      <c r="D63" s="19" t="n">
        <v>408</v>
      </c>
      <c r="E63" s="18" t="n">
        <v>25.48475627</v>
      </c>
      <c r="F63" s="20" t="n">
        <v>2.51922714</v>
      </c>
      <c r="G63" s="18" t="n">
        <v>2.37381878</v>
      </c>
      <c r="H63" s="20" t="n">
        <v>0.72645874</v>
      </c>
      <c r="I63" s="18" t="n">
        <v>7.4556243</v>
      </c>
      <c r="J63" s="20" t="n">
        <v>1.23982527</v>
      </c>
      <c r="K63" s="18" t="s">
        <v>349</v>
      </c>
      <c r="L63" s="20" t="s">
        <v>349</v>
      </c>
      <c r="M63" s="18" t="n">
        <v>3.50865891</v>
      </c>
      <c r="N63" s="20" t="n">
        <v>0.98859952</v>
      </c>
      <c r="O63" s="18" t="n">
        <v>0</v>
      </c>
      <c r="P63" s="20" t="n">
        <v>0</v>
      </c>
      <c r="Q63" s="18" t="n">
        <v>0</v>
      </c>
      <c r="R63" s="20" t="n">
        <v>0</v>
      </c>
      <c r="S63" s="18" t="n">
        <v>61.17714174</v>
      </c>
      <c r="T63" s="20" t="n">
        <v>2.67055822</v>
      </c>
    </row>
    <row r="64" spans="1:20">
      <c r="A64" s="15" t="s">
        <v>406</v>
      </c>
      <c r="B64" s="17" t="n">
        <v>1790</v>
      </c>
      <c r="C64" s="18">
        <f>(1490.0/B64*100)</f>
        <v/>
      </c>
      <c r="D64" s="19" t="n">
        <v>300</v>
      </c>
      <c r="E64" s="18" t="n">
        <v>32.38534322</v>
      </c>
      <c r="F64" s="20" t="n">
        <v>2.67757137</v>
      </c>
      <c r="G64" s="18" t="n">
        <v>2.87530466</v>
      </c>
      <c r="H64" s="20" t="n">
        <v>0.98777247</v>
      </c>
      <c r="I64" s="18" t="n">
        <v>42.69740932</v>
      </c>
      <c r="J64" s="20" t="n">
        <v>2.95300903</v>
      </c>
      <c r="K64" s="18" t="s">
        <v>349</v>
      </c>
      <c r="L64" s="20" t="s">
        <v>349</v>
      </c>
      <c r="M64" s="18" t="n">
        <v>3.15441861</v>
      </c>
      <c r="N64" s="20" t="n">
        <v>1.13537622</v>
      </c>
      <c r="O64" s="18" t="n">
        <v>0</v>
      </c>
      <c r="P64" s="20" t="n">
        <v>0</v>
      </c>
      <c r="Q64" s="18" t="n">
        <v>0</v>
      </c>
      <c r="R64" s="20" t="n">
        <v>0</v>
      </c>
      <c r="S64" s="18" t="n">
        <v>18.88752419</v>
      </c>
      <c r="T64" s="20" t="n">
        <v>2.09911441</v>
      </c>
    </row>
    <row r="65" spans="1:20">
      <c r="A65" s="15" t="s">
        <v>407</v>
      </c>
      <c r="B65" s="17" t="n">
        <v>2634</v>
      </c>
      <c r="C65" s="18">
        <f>(2206.0/B65*100)</f>
        <v/>
      </c>
      <c r="D65" s="19" t="n">
        <v>428</v>
      </c>
      <c r="E65" s="18" t="n">
        <v>29.58077275</v>
      </c>
      <c r="F65" s="20" t="n">
        <v>2.44097556</v>
      </c>
      <c r="G65" s="18" t="n">
        <v>2.27448415</v>
      </c>
      <c r="H65" s="20" t="n">
        <v>0.84444271</v>
      </c>
      <c r="I65" s="18" t="n">
        <v>16.60844414</v>
      </c>
      <c r="J65" s="20" t="n">
        <v>2.05878373</v>
      </c>
      <c r="K65" s="18" t="s">
        <v>349</v>
      </c>
      <c r="L65" s="20" t="s">
        <v>349</v>
      </c>
      <c r="M65" s="18" t="n">
        <v>4.91818068</v>
      </c>
      <c r="N65" s="20" t="n">
        <v>1.01276432</v>
      </c>
      <c r="O65" s="18" t="n">
        <v>0</v>
      </c>
      <c r="P65" s="20" t="n">
        <v>0</v>
      </c>
      <c r="Q65" s="18" t="n">
        <v>0</v>
      </c>
      <c r="R65" s="20" t="n">
        <v>0</v>
      </c>
      <c r="S65" s="18" t="n">
        <v>46.61811827</v>
      </c>
      <c r="T65" s="20" t="n">
        <v>2.77701345</v>
      </c>
    </row>
    <row r="66" spans="1:20">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row>
    <row r="68" spans="1:20">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2466</v>
      </c>
      <c r="C69" s="18">
        <f>(2057.0/B69*100)</f>
        <v/>
      </c>
      <c r="D69" s="19" t="n">
        <v>409</v>
      </c>
      <c r="E69" s="18" t="n">
        <v>74.43056539</v>
      </c>
      <c r="F69" s="20" t="n">
        <v>2.66662576</v>
      </c>
      <c r="G69" s="18" t="n">
        <v>6.23283531</v>
      </c>
      <c r="H69" s="20" t="n">
        <v>1.31871639</v>
      </c>
      <c r="I69" s="18" t="n">
        <v>18.6784554</v>
      </c>
      <c r="J69" s="20" t="n">
        <v>2.36173616</v>
      </c>
      <c r="K69" s="18" t="s">
        <v>349</v>
      </c>
      <c r="L69" s="20" t="s">
        <v>349</v>
      </c>
      <c r="M69" s="18" t="n">
        <v>0</v>
      </c>
      <c r="N69" s="20" t="n">
        <v>0</v>
      </c>
      <c r="O69" s="18" t="n">
        <v>0</v>
      </c>
      <c r="P69" s="20" t="n">
        <v>0</v>
      </c>
      <c r="Q69" s="18" t="n">
        <v>0</v>
      </c>
      <c r="R69" s="20" t="n">
        <v>0</v>
      </c>
      <c r="S69" s="18" t="n">
        <v>0.6581439100000001</v>
      </c>
      <c r="T69" s="20" t="n">
        <v>0.50046439</v>
      </c>
    </row>
    <row r="70" spans="1:20">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2453</v>
      </c>
      <c r="C74" s="18">
        <f>(2033.0/B74*100)</f>
        <v/>
      </c>
      <c r="D74" s="19" t="n">
        <v>420</v>
      </c>
      <c r="E74" s="18" t="n">
        <v>42.39844155</v>
      </c>
      <c r="F74" s="20" t="n">
        <v>2.42909544</v>
      </c>
      <c r="G74" s="18" t="n">
        <v>0.76822621</v>
      </c>
      <c r="H74" s="20" t="n">
        <v>0.43493219</v>
      </c>
      <c r="I74" s="18" t="n">
        <v>12.35431295</v>
      </c>
      <c r="J74" s="20" t="n">
        <v>1.53667072</v>
      </c>
      <c r="K74" s="18" t="s">
        <v>349</v>
      </c>
      <c r="L74" s="20" t="s">
        <v>349</v>
      </c>
      <c r="M74" s="18" t="n">
        <v>6.59889394</v>
      </c>
      <c r="N74" s="20" t="n">
        <v>1.33583955</v>
      </c>
      <c r="O74" s="18" t="n">
        <v>0</v>
      </c>
      <c r="P74" s="20" t="n">
        <v>0</v>
      </c>
      <c r="Q74" s="18" t="n">
        <v>0</v>
      </c>
      <c r="R74" s="20" t="n">
        <v>0</v>
      </c>
      <c r="S74" s="18" t="n">
        <v>37.88012535</v>
      </c>
      <c r="T74" s="20" t="n">
        <v>2.23249577</v>
      </c>
    </row>
    <row r="75" spans="1:20">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row>
    <row r="76" spans="1:20">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row>
    <row r="77" spans="1:20">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row>
    <row r="78" spans="1:20">
      <c r="A78" s="15" t="s">
        <v>420</v>
      </c>
      <c r="B78" s="17" t="n">
        <v>3040</v>
      </c>
      <c r="C78" s="18">
        <f>(2528.0/B78*100)</f>
        <v/>
      </c>
      <c r="D78" s="19" t="n">
        <v>512</v>
      </c>
      <c r="E78" s="18" t="n">
        <v>60.45325324</v>
      </c>
      <c r="F78" s="20" t="n">
        <v>2.70570364</v>
      </c>
      <c r="G78" s="18" t="n">
        <v>1.54107561</v>
      </c>
      <c r="H78" s="20" t="n">
        <v>0.60342697</v>
      </c>
      <c r="I78" s="18" t="n">
        <v>34.09550738</v>
      </c>
      <c r="J78" s="20" t="n">
        <v>2.71611016</v>
      </c>
      <c r="K78" s="18" t="s">
        <v>349</v>
      </c>
      <c r="L78" s="20" t="s">
        <v>349</v>
      </c>
      <c r="M78" s="18" t="n">
        <v>0.22215842</v>
      </c>
      <c r="N78" s="20" t="n">
        <v>0.22691279</v>
      </c>
      <c r="O78" s="18" t="n">
        <v>0</v>
      </c>
      <c r="P78" s="20" t="n">
        <v>0</v>
      </c>
      <c r="Q78" s="18" t="n">
        <v>0</v>
      </c>
      <c r="R78" s="20" t="n">
        <v>0</v>
      </c>
      <c r="S78" s="18" t="n">
        <v>3.68800535</v>
      </c>
      <c r="T78" s="20" t="n">
        <v>0.85151203</v>
      </c>
    </row>
    <row customHeight="1" ht="25" r="79" spans="1:20">
      <c r="A79" s="15" t="s">
        <v>421</v>
      </c>
      <c r="B79" s="17" t="n">
        <v>870</v>
      </c>
      <c r="C79" s="18">
        <f>(725.0/B79*100)</f>
        <v/>
      </c>
      <c r="D79" s="19" t="n">
        <v>145</v>
      </c>
      <c r="E79" s="18" t="n">
        <v>43.49342957</v>
      </c>
      <c r="F79" s="20" t="n">
        <v>5.05482724</v>
      </c>
      <c r="G79" s="18" t="n">
        <v>1.19152226</v>
      </c>
      <c r="H79" s="20" t="n">
        <v>0.80641715</v>
      </c>
      <c r="I79" s="18" t="n">
        <v>16.97334123</v>
      </c>
      <c r="J79" s="20" t="n">
        <v>3.17119397</v>
      </c>
      <c r="K79" s="18" t="s">
        <v>349</v>
      </c>
      <c r="L79" s="20" t="s">
        <v>349</v>
      </c>
      <c r="M79" s="18" t="n">
        <v>3.01769164</v>
      </c>
      <c r="N79" s="20" t="n">
        <v>1.58574338</v>
      </c>
      <c r="O79" s="18" t="n">
        <v>0</v>
      </c>
      <c r="P79" s="20" t="n">
        <v>0</v>
      </c>
      <c r="Q79" s="18" t="n">
        <v>0</v>
      </c>
      <c r="R79" s="20" t="n">
        <v>0</v>
      </c>
      <c r="S79" s="18" t="n">
        <v>35.3240153</v>
      </c>
      <c r="T79" s="20" t="n">
        <v>4.94026487</v>
      </c>
    </row>
    <row r="80" spans="1:20">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(2235.0/B44*100)</f>
        <v/>
      </c>
      <c r="D44" s="19" t="n">
        <v>456</v>
      </c>
      <c r="E44" s="18" t="n">
        <v>71.70609100999999</v>
      </c>
      <c r="F44" s="20" t="n">
        <v>2.58683235</v>
      </c>
      <c r="G44" s="18" t="n">
        <v>2.61280077</v>
      </c>
      <c r="H44" s="20" t="n">
        <v>0.83280901</v>
      </c>
      <c r="I44" s="18" t="s">
        <v>349</v>
      </c>
      <c r="J44" s="20" t="s">
        <v>349</v>
      </c>
      <c r="K44" s="18" t="n">
        <v>1.82683133</v>
      </c>
      <c r="L44" s="20" t="n">
        <v>0.65309764</v>
      </c>
      <c r="M44" s="18" t="n">
        <v>0.20813674</v>
      </c>
      <c r="N44" s="20" t="n">
        <v>0.21033027</v>
      </c>
      <c r="O44" s="18" t="n">
        <v>0</v>
      </c>
      <c r="P44" s="20" t="n">
        <v>0</v>
      </c>
      <c r="Q44" s="18" t="n">
        <v>23.64614014</v>
      </c>
      <c r="R44" s="20" t="n">
        <v>2.46168407</v>
      </c>
    </row>
    <row r="45" spans="1:18">
      <c r="A45" s="15" t="s">
        <v>387</v>
      </c>
      <c r="B45" s="17" t="n">
        <v>2670</v>
      </c>
      <c r="C45" s="18">
        <f>(2266.0/B45*100)</f>
        <v/>
      </c>
      <c r="D45" s="19" t="n">
        <v>404</v>
      </c>
      <c r="E45" s="18" t="n">
        <v>71.39775865999999</v>
      </c>
      <c r="F45" s="20" t="n">
        <v>2.12287701</v>
      </c>
      <c r="G45" s="18" t="n">
        <v>2.91390267</v>
      </c>
      <c r="H45" s="20" t="n">
        <v>0.8605396199999999</v>
      </c>
      <c r="I45" s="18" t="s">
        <v>349</v>
      </c>
      <c r="J45" s="20" t="s">
        <v>349</v>
      </c>
      <c r="K45" s="18" t="n">
        <v>4.95329364</v>
      </c>
      <c r="L45" s="20" t="n">
        <v>1.03017224</v>
      </c>
      <c r="M45" s="18" t="n">
        <v>0</v>
      </c>
      <c r="N45" s="20" t="n">
        <v>0</v>
      </c>
      <c r="O45" s="18" t="n">
        <v>0</v>
      </c>
      <c r="P45" s="20" t="n">
        <v>0</v>
      </c>
      <c r="Q45" s="18" t="n">
        <v>20.73504502</v>
      </c>
      <c r="R45" s="20" t="n">
        <v>2.09279824</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(2792.0/B49*100)</f>
        <v/>
      </c>
      <c r="D49" s="19" t="n">
        <v>539</v>
      </c>
      <c r="E49" s="18" t="n">
        <v>75.08946647</v>
      </c>
      <c r="F49" s="20" t="n">
        <v>2.36901801</v>
      </c>
      <c r="G49" s="18" t="n">
        <v>3.39860903</v>
      </c>
      <c r="H49" s="20" t="n">
        <v>1.01368668</v>
      </c>
      <c r="I49" s="18" t="s">
        <v>349</v>
      </c>
      <c r="J49" s="20" t="s">
        <v>349</v>
      </c>
      <c r="K49" s="18" t="n">
        <v>3.32070372</v>
      </c>
      <c r="L49" s="20" t="n">
        <v>0.96789937</v>
      </c>
      <c r="M49" s="18" t="n">
        <v>0</v>
      </c>
      <c r="N49" s="20" t="n">
        <v>0</v>
      </c>
      <c r="O49" s="18" t="n">
        <v>0</v>
      </c>
      <c r="P49" s="20" t="n">
        <v>0</v>
      </c>
      <c r="Q49" s="18" t="n">
        <v>18.19122078</v>
      </c>
      <c r="R49" s="20" t="n">
        <v>1.88113624</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(2118.0/B55*100)</f>
        <v/>
      </c>
      <c r="D55" s="19" t="n">
        <v>439</v>
      </c>
      <c r="E55" s="18" t="n">
        <v>71.85244923</v>
      </c>
      <c r="F55" s="20" t="n">
        <v>1.87709892</v>
      </c>
      <c r="G55" s="18" t="n">
        <v>3.47178277</v>
      </c>
      <c r="H55" s="20" t="n">
        <v>0.8938889800000001</v>
      </c>
      <c r="I55" s="18" t="s">
        <v>349</v>
      </c>
      <c r="J55" s="20" t="s">
        <v>349</v>
      </c>
      <c r="K55" s="18" t="n">
        <v>2.35984343</v>
      </c>
      <c r="L55" s="20" t="n">
        <v>0.75315797</v>
      </c>
      <c r="M55" s="18" t="n">
        <v>0.21416034</v>
      </c>
      <c r="N55" s="20" t="n">
        <v>0.21355321</v>
      </c>
      <c r="O55" s="18" t="n">
        <v>0</v>
      </c>
      <c r="P55" s="20" t="n">
        <v>0</v>
      </c>
      <c r="Q55" s="18" t="n">
        <v>22.10176423</v>
      </c>
      <c r="R55" s="20" t="n">
        <v>1.69349992</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(2789.0/B57*100)</f>
        <v/>
      </c>
      <c r="D57" s="19" t="n">
        <v>554</v>
      </c>
      <c r="E57" s="18" t="n">
        <v>84.67362218</v>
      </c>
      <c r="F57" s="20" t="n">
        <v>1.98844477</v>
      </c>
      <c r="G57" s="18" t="n">
        <v>4.08423281</v>
      </c>
      <c r="H57" s="20" t="n">
        <v>0.98912123</v>
      </c>
      <c r="I57" s="18" t="s">
        <v>349</v>
      </c>
      <c r="J57" s="20" t="s">
        <v>349</v>
      </c>
      <c r="K57" s="18" t="n">
        <v>1.25877548</v>
      </c>
      <c r="L57" s="20" t="n">
        <v>0.53917272</v>
      </c>
      <c r="M57" s="18" t="n">
        <v>0</v>
      </c>
      <c r="N57" s="20" t="n">
        <v>0</v>
      </c>
      <c r="O57" s="18" t="n">
        <v>0</v>
      </c>
      <c r="P57" s="20" t="n">
        <v>0</v>
      </c>
      <c r="Q57" s="18" t="n">
        <v>9.983369529999999</v>
      </c>
      <c r="R57" s="20" t="n">
        <v>1.4702231</v>
      </c>
    </row>
    <row r="58" spans="1:18">
      <c r="A58" s="15" t="s">
        <v>400</v>
      </c>
      <c r="B58" s="17" t="n">
        <v>3737</v>
      </c>
      <c r="C58" s="18">
        <f>(3120.0/B58*100)</f>
        <v/>
      </c>
      <c r="D58" s="19" t="n">
        <v>617</v>
      </c>
      <c r="E58" s="18" t="n">
        <v>86.73197734999999</v>
      </c>
      <c r="F58" s="20" t="n">
        <v>1.57410305</v>
      </c>
      <c r="G58" s="18" t="n">
        <v>0.54719185</v>
      </c>
      <c r="H58" s="20" t="n">
        <v>0.31050977</v>
      </c>
      <c r="I58" s="18" t="s">
        <v>349</v>
      </c>
      <c r="J58" s="20" t="s">
        <v>349</v>
      </c>
      <c r="K58" s="18" t="n">
        <v>2.01528924</v>
      </c>
      <c r="L58" s="20" t="n">
        <v>0.56877989</v>
      </c>
      <c r="M58" s="18" t="n">
        <v>0</v>
      </c>
      <c r="N58" s="20" t="n">
        <v>0</v>
      </c>
      <c r="O58" s="18" t="n">
        <v>0</v>
      </c>
      <c r="P58" s="20" t="n">
        <v>0</v>
      </c>
      <c r="Q58" s="18" t="n">
        <v>10.70554155</v>
      </c>
      <c r="R58" s="20" t="n">
        <v>1.52645951</v>
      </c>
    </row>
    <row r="59" spans="1:18">
      <c r="A59" s="15" t="s">
        <v>401</v>
      </c>
      <c r="B59" s="17" t="n">
        <v>2278</v>
      </c>
      <c r="C59" s="18">
        <f>(1920.0/B59*100)</f>
        <v/>
      </c>
      <c r="D59" s="19" t="n">
        <v>358</v>
      </c>
      <c r="E59" s="18" t="n">
        <v>75.15310621</v>
      </c>
      <c r="F59" s="20" t="n">
        <v>3.00740422</v>
      </c>
      <c r="G59" s="18" t="n">
        <v>3.06577377</v>
      </c>
      <c r="H59" s="20" t="n">
        <v>1.07001962</v>
      </c>
      <c r="I59" s="18" t="s">
        <v>349</v>
      </c>
      <c r="J59" s="20" t="s">
        <v>349</v>
      </c>
      <c r="K59" s="18" t="n">
        <v>2.54302772</v>
      </c>
      <c r="L59" s="20" t="n">
        <v>1.4113272</v>
      </c>
      <c r="M59" s="18" t="n">
        <v>0</v>
      </c>
      <c r="N59" s="20" t="n">
        <v>0</v>
      </c>
      <c r="O59" s="18" t="n">
        <v>0</v>
      </c>
      <c r="P59" s="20" t="n">
        <v>0</v>
      </c>
      <c r="Q59" s="18" t="n">
        <v>19.2380923</v>
      </c>
      <c r="R59" s="20" t="n">
        <v>2.39412429</v>
      </c>
    </row>
    <row r="60" spans="1:18">
      <c r="A60" s="15" t="s">
        <v>402</v>
      </c>
      <c r="B60" s="17" t="n">
        <v>2451</v>
      </c>
      <c r="C60" s="18">
        <f>(2043.0/B60*100)</f>
        <v/>
      </c>
      <c r="D60" s="19" t="n">
        <v>408</v>
      </c>
      <c r="E60" s="18" t="n">
        <v>70.95153577000001</v>
      </c>
      <c r="F60" s="20" t="n">
        <v>2.5947713</v>
      </c>
      <c r="G60" s="18" t="n">
        <v>1.29488546</v>
      </c>
      <c r="H60" s="20" t="n">
        <v>0.46155075</v>
      </c>
      <c r="I60" s="18" t="s">
        <v>349</v>
      </c>
      <c r="J60" s="20" t="s">
        <v>349</v>
      </c>
      <c r="K60" s="18" t="n">
        <v>5.7702501</v>
      </c>
      <c r="L60" s="20" t="n">
        <v>1.22618498</v>
      </c>
      <c r="M60" s="18" t="n">
        <v>0</v>
      </c>
      <c r="N60" s="20" t="n">
        <v>0</v>
      </c>
      <c r="O60" s="18" t="n">
        <v>0.29929063</v>
      </c>
      <c r="P60" s="20" t="n">
        <v>0.33935414</v>
      </c>
      <c r="Q60" s="18" t="n">
        <v>21.68403804</v>
      </c>
      <c r="R60" s="20" t="n">
        <v>2.49518881</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(2103.0/B63*100)</f>
        <v/>
      </c>
      <c r="D63" s="19" t="n">
        <v>408</v>
      </c>
      <c r="E63" s="18" t="n">
        <v>59.82614792</v>
      </c>
      <c r="F63" s="20" t="n">
        <v>2.60546718</v>
      </c>
      <c r="G63" s="18" t="n">
        <v>0.963674</v>
      </c>
      <c r="H63" s="20" t="n">
        <v>0.40349159</v>
      </c>
      <c r="I63" s="18" t="s">
        <v>349</v>
      </c>
      <c r="J63" s="20" t="s">
        <v>349</v>
      </c>
      <c r="K63" s="18" t="n">
        <v>4.16494631</v>
      </c>
      <c r="L63" s="20" t="n">
        <v>1.10817322</v>
      </c>
      <c r="M63" s="18" t="n">
        <v>0</v>
      </c>
      <c r="N63" s="20" t="n">
        <v>0</v>
      </c>
      <c r="O63" s="18" t="n">
        <v>0</v>
      </c>
      <c r="P63" s="20" t="n">
        <v>0</v>
      </c>
      <c r="Q63" s="18" t="n">
        <v>35.04523177</v>
      </c>
      <c r="R63" s="20" t="n">
        <v>2.4968604</v>
      </c>
    </row>
    <row r="64" spans="1:18">
      <c r="A64" s="15" t="s">
        <v>406</v>
      </c>
      <c r="B64" s="17" t="n">
        <v>1790</v>
      </c>
      <c r="C64" s="18">
        <f>(1490.0/B64*100)</f>
        <v/>
      </c>
      <c r="D64" s="19" t="n">
        <v>300</v>
      </c>
      <c r="E64" s="18" t="n">
        <v>85.57465711</v>
      </c>
      <c r="F64" s="20" t="n">
        <v>2.20127719</v>
      </c>
      <c r="G64" s="18" t="n">
        <v>3.58259068</v>
      </c>
      <c r="H64" s="20" t="n">
        <v>1.09317701</v>
      </c>
      <c r="I64" s="18" t="s">
        <v>349</v>
      </c>
      <c r="J64" s="20" t="s">
        <v>349</v>
      </c>
      <c r="K64" s="18" t="n">
        <v>3.15441861</v>
      </c>
      <c r="L64" s="20" t="n">
        <v>1.13537622</v>
      </c>
      <c r="M64" s="18" t="n">
        <v>0</v>
      </c>
      <c r="N64" s="20" t="n">
        <v>0</v>
      </c>
      <c r="O64" s="18" t="n">
        <v>0</v>
      </c>
      <c r="P64" s="20" t="n">
        <v>0</v>
      </c>
      <c r="Q64" s="18" t="n">
        <v>7.6883336</v>
      </c>
      <c r="R64" s="20" t="n">
        <v>1.64792072</v>
      </c>
    </row>
    <row r="65" spans="1:18">
      <c r="A65" s="15" t="s">
        <v>407</v>
      </c>
      <c r="B65" s="17" t="n">
        <v>2634</v>
      </c>
      <c r="C65" s="18">
        <f>(2206.0/B65*100)</f>
        <v/>
      </c>
      <c r="D65" s="19" t="n">
        <v>428</v>
      </c>
      <c r="E65" s="18" t="n">
        <v>72.89251898000001</v>
      </c>
      <c r="F65" s="20" t="n">
        <v>2.39273563</v>
      </c>
      <c r="G65" s="18" t="n">
        <v>1.37708268</v>
      </c>
      <c r="H65" s="20" t="n">
        <v>0.48266831</v>
      </c>
      <c r="I65" s="18" t="s">
        <v>349</v>
      </c>
      <c r="J65" s="20" t="s">
        <v>349</v>
      </c>
      <c r="K65" s="18" t="n">
        <v>5.31543387</v>
      </c>
      <c r="L65" s="20" t="n">
        <v>1.04724281</v>
      </c>
      <c r="M65" s="18" t="n">
        <v>0</v>
      </c>
      <c r="N65" s="20" t="n">
        <v>0</v>
      </c>
      <c r="O65" s="18" t="n">
        <v>0</v>
      </c>
      <c r="P65" s="20" t="n">
        <v>0</v>
      </c>
      <c r="Q65" s="18" t="n">
        <v>20.41496447</v>
      </c>
      <c r="R65" s="20" t="n">
        <v>2.25869026</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(2057.0/B69*100)</f>
        <v/>
      </c>
      <c r="D69" s="19" t="n">
        <v>409</v>
      </c>
      <c r="E69" s="18" t="n">
        <v>88.17659664999999</v>
      </c>
      <c r="F69" s="20" t="n">
        <v>1.70935754</v>
      </c>
      <c r="G69" s="18" t="n">
        <v>11.6210262</v>
      </c>
      <c r="H69" s="20" t="n">
        <v>1.69506647</v>
      </c>
      <c r="I69" s="18" t="s">
        <v>349</v>
      </c>
      <c r="J69" s="20" t="s">
        <v>349</v>
      </c>
      <c r="K69" s="18" t="n">
        <v>0</v>
      </c>
      <c r="L69" s="20" t="n">
        <v>0</v>
      </c>
      <c r="M69" s="18" t="n">
        <v>0</v>
      </c>
      <c r="N69" s="20" t="n">
        <v>0</v>
      </c>
      <c r="O69" s="18" t="n">
        <v>0</v>
      </c>
      <c r="P69" s="20" t="n">
        <v>0</v>
      </c>
      <c r="Q69" s="18" t="n">
        <v>0.20237714</v>
      </c>
      <c r="R69" s="20" t="n">
        <v>0.20302212</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80.19565596</v>
      </c>
      <c r="F74" s="20" t="n">
        <v>2.10086614</v>
      </c>
      <c r="G74" s="18" t="n">
        <v>1.24222013</v>
      </c>
      <c r="H74" s="20" t="n">
        <v>0.61748211</v>
      </c>
      <c r="I74" s="18" t="s">
        <v>349</v>
      </c>
      <c r="J74" s="20" t="s">
        <v>349</v>
      </c>
      <c r="K74" s="18" t="n">
        <v>6.85132242</v>
      </c>
      <c r="L74" s="20" t="n">
        <v>1.34594095</v>
      </c>
      <c r="M74" s="18" t="n">
        <v>0</v>
      </c>
      <c r="N74" s="20" t="n">
        <v>0</v>
      </c>
      <c r="O74" s="18" t="n">
        <v>0</v>
      </c>
      <c r="P74" s="20" t="n">
        <v>0</v>
      </c>
      <c r="Q74" s="18" t="n">
        <v>11.71080148</v>
      </c>
      <c r="R74" s="20" t="n">
        <v>1.7713669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(2528.0/B78*100)</f>
        <v/>
      </c>
      <c r="D78" s="19" t="n">
        <v>512</v>
      </c>
      <c r="E78" s="18" t="n">
        <v>93.37475322</v>
      </c>
      <c r="F78" s="20" t="n">
        <v>1.06424436</v>
      </c>
      <c r="G78" s="18" t="n">
        <v>4.90079412</v>
      </c>
      <c r="H78" s="20" t="n">
        <v>0.92757389</v>
      </c>
      <c r="I78" s="18" t="s">
        <v>349</v>
      </c>
      <c r="J78" s="20" t="s">
        <v>349</v>
      </c>
      <c r="K78" s="18" t="n">
        <v>0.22215842</v>
      </c>
      <c r="L78" s="20" t="n">
        <v>0.22691279</v>
      </c>
      <c r="M78" s="18" t="n">
        <v>0</v>
      </c>
      <c r="N78" s="20" t="n">
        <v>0</v>
      </c>
      <c r="O78" s="18" t="n">
        <v>0</v>
      </c>
      <c r="P78" s="20" t="n">
        <v>0</v>
      </c>
      <c r="Q78" s="18" t="n">
        <v>1.50229425</v>
      </c>
      <c r="R78" s="20" t="n">
        <v>0.41916726</v>
      </c>
    </row>
    <row customHeight="1" ht="25" r="79" spans="1:18">
      <c r="A79" s="15" t="s">
        <v>421</v>
      </c>
      <c r="B79" s="17" t="n">
        <v>870</v>
      </c>
      <c r="C79" s="18">
        <f>(725.0/B79*100)</f>
        <v/>
      </c>
      <c r="D79" s="19" t="n">
        <v>145</v>
      </c>
      <c r="E79" s="18" t="n">
        <v>70.67154084000001</v>
      </c>
      <c r="F79" s="20" t="n">
        <v>4.43304958</v>
      </c>
      <c r="G79" s="18" t="n">
        <v>3.0289087</v>
      </c>
      <c r="H79" s="20" t="n">
        <v>1.33689928</v>
      </c>
      <c r="I79" s="18" t="s">
        <v>349</v>
      </c>
      <c r="J79" s="20" t="s">
        <v>349</v>
      </c>
      <c r="K79" s="18" t="n">
        <v>4.0537218</v>
      </c>
      <c r="L79" s="20" t="n">
        <v>1.98418698</v>
      </c>
      <c r="M79" s="18" t="n">
        <v>0</v>
      </c>
      <c r="N79" s="20" t="n">
        <v>0</v>
      </c>
      <c r="O79" s="18" t="n">
        <v>0</v>
      </c>
      <c r="P79" s="20" t="n">
        <v>0</v>
      </c>
      <c r="Q79" s="18" t="n">
        <v>22.24582865</v>
      </c>
      <c r="R79" s="20" t="n">
        <v>3.88009711</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(2235.0/B44*100)</f>
        <v/>
      </c>
      <c r="D44" s="19" t="n">
        <v>456</v>
      </c>
      <c r="E44" s="18" t="n">
        <v>40.08013036</v>
      </c>
      <c r="F44" s="20" t="n">
        <v>2.59570027</v>
      </c>
      <c r="G44" s="18" t="n">
        <v>51.09358311</v>
      </c>
      <c r="H44" s="20" t="n">
        <v>2.95969331</v>
      </c>
      <c r="I44" s="18" t="s">
        <v>349</v>
      </c>
      <c r="J44" s="20" t="s">
        <v>349</v>
      </c>
      <c r="K44" s="18" t="n">
        <v>1.82683133</v>
      </c>
      <c r="L44" s="20" t="n">
        <v>0.65309764</v>
      </c>
      <c r="M44" s="18" t="n">
        <v>0</v>
      </c>
      <c r="N44" s="20" t="n">
        <v>0</v>
      </c>
      <c r="O44" s="18" t="n">
        <v>0</v>
      </c>
      <c r="P44" s="20" t="n">
        <v>0</v>
      </c>
      <c r="Q44" s="18" t="n">
        <v>6.99945519</v>
      </c>
      <c r="R44" s="20" t="n">
        <v>1.22312767</v>
      </c>
    </row>
    <row r="45" spans="1:18">
      <c r="A45" s="15" t="s">
        <v>387</v>
      </c>
      <c r="B45" s="17" t="n">
        <v>2670</v>
      </c>
      <c r="C45" s="18">
        <f>(2266.0/B45*100)</f>
        <v/>
      </c>
      <c r="D45" s="19" t="n">
        <v>404</v>
      </c>
      <c r="E45" s="18" t="n">
        <v>59.97923467</v>
      </c>
      <c r="F45" s="20" t="n">
        <v>2.6304234</v>
      </c>
      <c r="G45" s="18" t="n">
        <v>28.12925422</v>
      </c>
      <c r="H45" s="20" t="n">
        <v>2.57986873</v>
      </c>
      <c r="I45" s="18" t="s">
        <v>349</v>
      </c>
      <c r="J45" s="20" t="s">
        <v>349</v>
      </c>
      <c r="K45" s="18" t="n">
        <v>5.61906685</v>
      </c>
      <c r="L45" s="20" t="n">
        <v>1.10524789</v>
      </c>
      <c r="M45" s="18" t="n">
        <v>0</v>
      </c>
      <c r="N45" s="20" t="n">
        <v>0</v>
      </c>
      <c r="O45" s="18" t="n">
        <v>0</v>
      </c>
      <c r="P45" s="20" t="n">
        <v>0</v>
      </c>
      <c r="Q45" s="18" t="n">
        <v>6.27244427</v>
      </c>
      <c r="R45" s="20" t="n">
        <v>1.25354038</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(2792.0/B49*100)</f>
        <v/>
      </c>
      <c r="D49" s="19" t="n">
        <v>539</v>
      </c>
      <c r="E49" s="18" t="n">
        <v>45.37084644</v>
      </c>
      <c r="F49" s="20" t="n">
        <v>2.49047202</v>
      </c>
      <c r="G49" s="18" t="n">
        <v>42.15063326</v>
      </c>
      <c r="H49" s="20" t="n">
        <v>3.08567055</v>
      </c>
      <c r="I49" s="18" t="s">
        <v>349</v>
      </c>
      <c r="J49" s="20" t="s">
        <v>349</v>
      </c>
      <c r="K49" s="18" t="n">
        <v>3.61264318</v>
      </c>
      <c r="L49" s="20" t="n">
        <v>1.01263475</v>
      </c>
      <c r="M49" s="18" t="n">
        <v>0</v>
      </c>
      <c r="N49" s="20" t="n">
        <v>0</v>
      </c>
      <c r="O49" s="18" t="n">
        <v>0</v>
      </c>
      <c r="P49" s="20" t="n">
        <v>0</v>
      </c>
      <c r="Q49" s="18" t="n">
        <v>8.86587712</v>
      </c>
      <c r="R49" s="20" t="n">
        <v>1.5128486</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(2118.0/B55*100)</f>
        <v/>
      </c>
      <c r="D55" s="19" t="n">
        <v>439</v>
      </c>
      <c r="E55" s="18" t="n">
        <v>28.75490803</v>
      </c>
      <c r="F55" s="20" t="n">
        <v>2.77140293</v>
      </c>
      <c r="G55" s="18" t="n">
        <v>62.23612929</v>
      </c>
      <c r="H55" s="20" t="n">
        <v>2.8995217</v>
      </c>
      <c r="I55" s="18" t="s">
        <v>349</v>
      </c>
      <c r="J55" s="20" t="s">
        <v>349</v>
      </c>
      <c r="K55" s="18" t="n">
        <v>2.5470108</v>
      </c>
      <c r="L55" s="20" t="n">
        <v>0.77330327</v>
      </c>
      <c r="M55" s="18" t="n">
        <v>0.21416034</v>
      </c>
      <c r="N55" s="20" t="n">
        <v>0.21355321</v>
      </c>
      <c r="O55" s="18" t="n">
        <v>0</v>
      </c>
      <c r="P55" s="20" t="n">
        <v>0</v>
      </c>
      <c r="Q55" s="18" t="n">
        <v>6.24779154</v>
      </c>
      <c r="R55" s="20" t="n">
        <v>1.17421098</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(2789.0/B57*100)</f>
        <v/>
      </c>
      <c r="D57" s="19" t="n">
        <v>554</v>
      </c>
      <c r="E57" s="18" t="n">
        <v>45.22008122</v>
      </c>
      <c r="F57" s="20" t="n">
        <v>2.78002813</v>
      </c>
      <c r="G57" s="18" t="n">
        <v>51.60946198</v>
      </c>
      <c r="H57" s="20" t="n">
        <v>2.84572651</v>
      </c>
      <c r="I57" s="18" t="s">
        <v>349</v>
      </c>
      <c r="J57" s="20" t="s">
        <v>349</v>
      </c>
      <c r="K57" s="18" t="n">
        <v>1.25877548</v>
      </c>
      <c r="L57" s="20" t="n">
        <v>0.53917272</v>
      </c>
      <c r="M57" s="18" t="n">
        <v>0</v>
      </c>
      <c r="N57" s="20" t="n">
        <v>0</v>
      </c>
      <c r="O57" s="18" t="n">
        <v>0</v>
      </c>
      <c r="P57" s="20" t="n">
        <v>0</v>
      </c>
      <c r="Q57" s="18" t="n">
        <v>1.91168132</v>
      </c>
      <c r="R57" s="20" t="n">
        <v>0.62001383</v>
      </c>
    </row>
    <row r="58" spans="1:18">
      <c r="A58" s="15" t="s">
        <v>400</v>
      </c>
      <c r="B58" s="17" t="n">
        <v>3737</v>
      </c>
      <c r="C58" s="18">
        <f>(3120.0/B58*100)</f>
        <v/>
      </c>
      <c r="D58" s="19" t="n">
        <v>617</v>
      </c>
      <c r="E58" s="18" t="n">
        <v>61.35313642</v>
      </c>
      <c r="F58" s="20" t="n">
        <v>2.48575258</v>
      </c>
      <c r="G58" s="18" t="n">
        <v>32.246832</v>
      </c>
      <c r="H58" s="20" t="n">
        <v>2.26867946</v>
      </c>
      <c r="I58" s="18" t="s">
        <v>349</v>
      </c>
      <c r="J58" s="20" t="s">
        <v>349</v>
      </c>
      <c r="K58" s="18" t="n">
        <v>3.05871455</v>
      </c>
      <c r="L58" s="20" t="n">
        <v>0.76796802</v>
      </c>
      <c r="M58" s="18" t="n">
        <v>0</v>
      </c>
      <c r="N58" s="20" t="n">
        <v>0</v>
      </c>
      <c r="O58" s="18" t="n">
        <v>0</v>
      </c>
      <c r="P58" s="20" t="n">
        <v>0</v>
      </c>
      <c r="Q58" s="18" t="n">
        <v>3.34131702</v>
      </c>
      <c r="R58" s="20" t="n">
        <v>0.91721841</v>
      </c>
    </row>
    <row r="59" spans="1:18">
      <c r="A59" s="15" t="s">
        <v>401</v>
      </c>
      <c r="B59" s="17" t="n">
        <v>2278</v>
      </c>
      <c r="C59" s="18">
        <f>(1920.0/B59*100)</f>
        <v/>
      </c>
      <c r="D59" s="19" t="n">
        <v>358</v>
      </c>
      <c r="E59" s="18" t="n">
        <v>53.78974233</v>
      </c>
      <c r="F59" s="20" t="n">
        <v>3.95922682</v>
      </c>
      <c r="G59" s="18" t="n">
        <v>37.97768821</v>
      </c>
      <c r="H59" s="20" t="n">
        <v>3.52291014</v>
      </c>
      <c r="I59" s="18" t="s">
        <v>349</v>
      </c>
      <c r="J59" s="20" t="s">
        <v>349</v>
      </c>
      <c r="K59" s="18" t="n">
        <v>2.54302772</v>
      </c>
      <c r="L59" s="20" t="n">
        <v>1.4113272</v>
      </c>
      <c r="M59" s="18" t="n">
        <v>0</v>
      </c>
      <c r="N59" s="20" t="n">
        <v>0</v>
      </c>
      <c r="O59" s="18" t="n">
        <v>0</v>
      </c>
      <c r="P59" s="20" t="n">
        <v>0</v>
      </c>
      <c r="Q59" s="18" t="n">
        <v>5.68954175</v>
      </c>
      <c r="R59" s="20" t="n">
        <v>1.43398267</v>
      </c>
    </row>
    <row r="60" spans="1:18">
      <c r="A60" s="15" t="s">
        <v>402</v>
      </c>
      <c r="B60" s="17" t="n">
        <v>2451</v>
      </c>
      <c r="C60" s="18">
        <f>(2043.0/B60*100)</f>
        <v/>
      </c>
      <c r="D60" s="19" t="n">
        <v>408</v>
      </c>
      <c r="E60" s="18" t="n">
        <v>38.94576329</v>
      </c>
      <c r="F60" s="20" t="n">
        <v>2.43839969</v>
      </c>
      <c r="G60" s="18" t="n">
        <v>43.90019745</v>
      </c>
      <c r="H60" s="20" t="n">
        <v>2.26553352</v>
      </c>
      <c r="I60" s="18" t="s">
        <v>349</v>
      </c>
      <c r="J60" s="20" t="s">
        <v>349</v>
      </c>
      <c r="K60" s="18" t="n">
        <v>7.45641557</v>
      </c>
      <c r="L60" s="20" t="n">
        <v>1.34208451</v>
      </c>
      <c r="M60" s="18" t="n">
        <v>0</v>
      </c>
      <c r="N60" s="20" t="n">
        <v>0</v>
      </c>
      <c r="O60" s="18" t="n">
        <v>0.29929063</v>
      </c>
      <c r="P60" s="20" t="n">
        <v>0.33935414</v>
      </c>
      <c r="Q60" s="18" t="n">
        <v>9.39833305</v>
      </c>
      <c r="R60" s="20" t="n">
        <v>1.58090784</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(2103.0/B63*100)</f>
        <v/>
      </c>
      <c r="D63" s="19" t="n">
        <v>408</v>
      </c>
      <c r="E63" s="18" t="n">
        <v>38.90635539</v>
      </c>
      <c r="F63" s="20" t="n">
        <v>2.77687387</v>
      </c>
      <c r="G63" s="18" t="n">
        <v>43.50480653</v>
      </c>
      <c r="H63" s="20" t="n">
        <v>2.62259025</v>
      </c>
      <c r="I63" s="18" t="s">
        <v>349</v>
      </c>
      <c r="J63" s="20" t="s">
        <v>349</v>
      </c>
      <c r="K63" s="18" t="n">
        <v>4.59953457</v>
      </c>
      <c r="L63" s="20" t="n">
        <v>1.08509569</v>
      </c>
      <c r="M63" s="18" t="n">
        <v>0</v>
      </c>
      <c r="N63" s="20" t="n">
        <v>0</v>
      </c>
      <c r="O63" s="18" t="n">
        <v>0</v>
      </c>
      <c r="P63" s="20" t="n">
        <v>0</v>
      </c>
      <c r="Q63" s="18" t="n">
        <v>12.98930351</v>
      </c>
      <c r="R63" s="20" t="n">
        <v>2.03895868</v>
      </c>
    </row>
    <row r="64" spans="1:18">
      <c r="A64" s="15" t="s">
        <v>406</v>
      </c>
      <c r="B64" s="17" t="n">
        <v>1790</v>
      </c>
      <c r="C64" s="18">
        <f>(1490.0/B64*100)</f>
        <v/>
      </c>
      <c r="D64" s="19" t="n">
        <v>300</v>
      </c>
      <c r="E64" s="18" t="n">
        <v>19.29394122</v>
      </c>
      <c r="F64" s="20" t="n">
        <v>2.27782711</v>
      </c>
      <c r="G64" s="18" t="n">
        <v>71.8385127</v>
      </c>
      <c r="H64" s="20" t="n">
        <v>2.57853165</v>
      </c>
      <c r="I64" s="18" t="s">
        <v>349</v>
      </c>
      <c r="J64" s="20" t="s">
        <v>349</v>
      </c>
      <c r="K64" s="18" t="n">
        <v>3.15441861</v>
      </c>
      <c r="L64" s="20" t="n">
        <v>1.13537622</v>
      </c>
      <c r="M64" s="18" t="n">
        <v>0</v>
      </c>
      <c r="N64" s="20" t="n">
        <v>0</v>
      </c>
      <c r="O64" s="18" t="n">
        <v>0</v>
      </c>
      <c r="P64" s="20" t="n">
        <v>0</v>
      </c>
      <c r="Q64" s="18" t="n">
        <v>5.71312747</v>
      </c>
      <c r="R64" s="20" t="n">
        <v>1.25198211</v>
      </c>
    </row>
    <row r="65" spans="1:18">
      <c r="A65" s="15" t="s">
        <v>407</v>
      </c>
      <c r="B65" s="17" t="n">
        <v>2634</v>
      </c>
      <c r="C65" s="18">
        <f>(2206.0/B65*100)</f>
        <v/>
      </c>
      <c r="D65" s="19" t="n">
        <v>428</v>
      </c>
      <c r="E65" s="18" t="n">
        <v>33.48200296</v>
      </c>
      <c r="F65" s="20" t="n">
        <v>2.17469997</v>
      </c>
      <c r="G65" s="18" t="n">
        <v>53.31665714</v>
      </c>
      <c r="H65" s="20" t="n">
        <v>2.39383873</v>
      </c>
      <c r="I65" s="18" t="s">
        <v>349</v>
      </c>
      <c r="J65" s="20" t="s">
        <v>349</v>
      </c>
      <c r="K65" s="18" t="n">
        <v>5.870709</v>
      </c>
      <c r="L65" s="20" t="n">
        <v>1.06687781</v>
      </c>
      <c r="M65" s="18" t="n">
        <v>0</v>
      </c>
      <c r="N65" s="20" t="n">
        <v>0</v>
      </c>
      <c r="O65" s="18" t="n">
        <v>0</v>
      </c>
      <c r="P65" s="20" t="n">
        <v>0</v>
      </c>
      <c r="Q65" s="18" t="n">
        <v>7.33063089</v>
      </c>
      <c r="R65" s="20" t="n">
        <v>1.26219787</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(2057.0/B69*100)</f>
        <v/>
      </c>
      <c r="D69" s="19" t="n">
        <v>409</v>
      </c>
      <c r="E69" s="18" t="n">
        <v>44.42441375</v>
      </c>
      <c r="F69" s="20" t="n">
        <v>2.30099542</v>
      </c>
      <c r="G69" s="18" t="n">
        <v>55.37320911</v>
      </c>
      <c r="H69" s="20" t="n">
        <v>2.3195387</v>
      </c>
      <c r="I69" s="18" t="s">
        <v>349</v>
      </c>
      <c r="J69" s="20" t="s">
        <v>349</v>
      </c>
      <c r="K69" s="18" t="n">
        <v>0</v>
      </c>
      <c r="L69" s="20" t="n">
        <v>0</v>
      </c>
      <c r="M69" s="18" t="n">
        <v>0</v>
      </c>
      <c r="N69" s="20" t="n">
        <v>0</v>
      </c>
      <c r="O69" s="18" t="n">
        <v>0</v>
      </c>
      <c r="P69" s="20" t="n">
        <v>0</v>
      </c>
      <c r="Q69" s="18" t="n">
        <v>0.20237714</v>
      </c>
      <c r="R69" s="20" t="n">
        <v>0.20302212</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36.81926829</v>
      </c>
      <c r="F74" s="20" t="n">
        <v>2.5986637</v>
      </c>
      <c r="G74" s="18" t="n">
        <v>49.31324286</v>
      </c>
      <c r="H74" s="20" t="n">
        <v>2.67023922</v>
      </c>
      <c r="I74" s="18" t="s">
        <v>349</v>
      </c>
      <c r="J74" s="20" t="s">
        <v>349</v>
      </c>
      <c r="K74" s="18" t="n">
        <v>7.30947587</v>
      </c>
      <c r="L74" s="20" t="n">
        <v>1.37363602</v>
      </c>
      <c r="M74" s="18" t="n">
        <v>0</v>
      </c>
      <c r="N74" s="20" t="n">
        <v>0</v>
      </c>
      <c r="O74" s="18" t="n">
        <v>0</v>
      </c>
      <c r="P74" s="20" t="n">
        <v>0</v>
      </c>
      <c r="Q74" s="18" t="n">
        <v>6.55801298</v>
      </c>
      <c r="R74" s="20" t="n">
        <v>1.43703713</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(2528.0/B78*100)</f>
        <v/>
      </c>
      <c r="D78" s="19" t="n">
        <v>512</v>
      </c>
      <c r="E78" s="18" t="n">
        <v>37.5091534</v>
      </c>
      <c r="F78" s="20" t="n">
        <v>2.79168987</v>
      </c>
      <c r="G78" s="18" t="n">
        <v>61.85124349</v>
      </c>
      <c r="H78" s="20" t="n">
        <v>2.81616323</v>
      </c>
      <c r="I78" s="18" t="s">
        <v>349</v>
      </c>
      <c r="J78" s="20" t="s">
        <v>349</v>
      </c>
      <c r="K78" s="18" t="n">
        <v>0.22215842</v>
      </c>
      <c r="L78" s="20" t="n">
        <v>0.22691279</v>
      </c>
      <c r="M78" s="18" t="n">
        <v>0</v>
      </c>
      <c r="N78" s="20" t="n">
        <v>0</v>
      </c>
      <c r="O78" s="18" t="n">
        <v>0</v>
      </c>
      <c r="P78" s="20" t="n">
        <v>0</v>
      </c>
      <c r="Q78" s="18" t="n">
        <v>0.4174447</v>
      </c>
      <c r="R78" s="20" t="n">
        <v>0.24370706</v>
      </c>
    </row>
    <row customHeight="1" ht="25" r="79" spans="1:18">
      <c r="A79" s="15" t="s">
        <v>421</v>
      </c>
      <c r="B79" s="17" t="n">
        <v>870</v>
      </c>
      <c r="C79" s="18">
        <f>(725.0/B79*100)</f>
        <v/>
      </c>
      <c r="D79" s="19" t="n">
        <v>145</v>
      </c>
      <c r="E79" s="18" t="n">
        <v>38.21579632</v>
      </c>
      <c r="F79" s="20" t="n">
        <v>3.98054612</v>
      </c>
      <c r="G79" s="18" t="n">
        <v>54.20311205</v>
      </c>
      <c r="H79" s="20" t="n">
        <v>4.6785327</v>
      </c>
      <c r="I79" s="18" t="s">
        <v>349</v>
      </c>
      <c r="J79" s="20" t="s">
        <v>349</v>
      </c>
      <c r="K79" s="18" t="n">
        <v>4.0537218</v>
      </c>
      <c r="L79" s="20" t="n">
        <v>1.98418698</v>
      </c>
      <c r="M79" s="18" t="n">
        <v>0</v>
      </c>
      <c r="N79" s="20" t="n">
        <v>0</v>
      </c>
      <c r="O79" s="18" t="n">
        <v>0</v>
      </c>
      <c r="P79" s="20" t="n">
        <v>0</v>
      </c>
      <c r="Q79" s="18" t="n">
        <v>3.52736983</v>
      </c>
      <c r="R79" s="20" t="n">
        <v>1.42393708</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589</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(2235.0/B44*100)</f>
        <v/>
      </c>
      <c r="D44" s="19" t="n">
        <v>456</v>
      </c>
      <c r="E44" s="18" t="n">
        <v>65.97597155</v>
      </c>
      <c r="F44" s="20" t="n">
        <v>2.23975808</v>
      </c>
      <c r="G44" s="18" t="n">
        <v>15.04970799</v>
      </c>
      <c r="H44" s="20" t="n">
        <v>1.69481271</v>
      </c>
      <c r="I44" s="18" t="s">
        <v>349</v>
      </c>
      <c r="J44" s="20" t="s">
        <v>349</v>
      </c>
      <c r="K44" s="18" t="n">
        <v>2.18387691</v>
      </c>
      <c r="L44" s="20" t="n">
        <v>0.69487349</v>
      </c>
      <c r="M44" s="18" t="n">
        <v>0</v>
      </c>
      <c r="N44" s="20" t="n">
        <v>0</v>
      </c>
      <c r="O44" s="18" t="n">
        <v>0</v>
      </c>
      <c r="P44" s="20" t="n">
        <v>0</v>
      </c>
      <c r="Q44" s="18" t="n">
        <v>16.79044355</v>
      </c>
      <c r="R44" s="20" t="n">
        <v>1.80787467</v>
      </c>
    </row>
    <row r="45" spans="1:18">
      <c r="A45" s="15" t="s">
        <v>387</v>
      </c>
      <c r="B45" s="17" t="n">
        <v>2670</v>
      </c>
      <c r="C45" s="18">
        <f>(2266.0/B45*100)</f>
        <v/>
      </c>
      <c r="D45" s="19" t="n">
        <v>404</v>
      </c>
      <c r="E45" s="18" t="n">
        <v>55.70444634</v>
      </c>
      <c r="F45" s="20" t="n">
        <v>2.96913905</v>
      </c>
      <c r="G45" s="18" t="n">
        <v>21.62603208</v>
      </c>
      <c r="H45" s="20" t="n">
        <v>2.49783854</v>
      </c>
      <c r="I45" s="18" t="s">
        <v>349</v>
      </c>
      <c r="J45" s="20" t="s">
        <v>349</v>
      </c>
      <c r="K45" s="18" t="n">
        <v>6.16989787</v>
      </c>
      <c r="L45" s="20" t="n">
        <v>1.176089</v>
      </c>
      <c r="M45" s="18" t="n">
        <v>0</v>
      </c>
      <c r="N45" s="20" t="n">
        <v>0</v>
      </c>
      <c r="O45" s="18" t="n">
        <v>0</v>
      </c>
      <c r="P45" s="20" t="n">
        <v>0</v>
      </c>
      <c r="Q45" s="18" t="n">
        <v>16.49962371</v>
      </c>
      <c r="R45" s="20" t="n">
        <v>2.17383068</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(2792.0/B49*100)</f>
        <v/>
      </c>
      <c r="D49" s="19" t="n">
        <v>539</v>
      </c>
      <c r="E49" s="18" t="n">
        <v>61.99149198</v>
      </c>
      <c r="F49" s="20" t="n">
        <v>2.42474518</v>
      </c>
      <c r="G49" s="18" t="n">
        <v>9.366919190000001</v>
      </c>
      <c r="H49" s="20" t="n">
        <v>1.62771117</v>
      </c>
      <c r="I49" s="18" t="s">
        <v>349</v>
      </c>
      <c r="J49" s="20" t="s">
        <v>349</v>
      </c>
      <c r="K49" s="18" t="n">
        <v>4.01352714</v>
      </c>
      <c r="L49" s="20" t="n">
        <v>1.04803579</v>
      </c>
      <c r="M49" s="18" t="n">
        <v>0</v>
      </c>
      <c r="N49" s="20" t="n">
        <v>0</v>
      </c>
      <c r="O49" s="18" t="n">
        <v>0</v>
      </c>
      <c r="P49" s="20" t="n">
        <v>0</v>
      </c>
      <c r="Q49" s="18" t="n">
        <v>24.62806169</v>
      </c>
      <c r="R49" s="20" t="n">
        <v>2.4777112</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(2118.0/B55*100)</f>
        <v/>
      </c>
      <c r="D55" s="19" t="n">
        <v>439</v>
      </c>
      <c r="E55" s="18" t="n">
        <v>42.8005314</v>
      </c>
      <c r="F55" s="20" t="n">
        <v>2.91572659</v>
      </c>
      <c r="G55" s="18" t="n">
        <v>30.72938446</v>
      </c>
      <c r="H55" s="20" t="n">
        <v>2.47098687</v>
      </c>
      <c r="I55" s="18" t="s">
        <v>349</v>
      </c>
      <c r="J55" s="20" t="s">
        <v>349</v>
      </c>
      <c r="K55" s="18" t="n">
        <v>3.46047243</v>
      </c>
      <c r="L55" s="20" t="n">
        <v>0.93661403</v>
      </c>
      <c r="M55" s="18" t="n">
        <v>0.21416034</v>
      </c>
      <c r="N55" s="20" t="n">
        <v>0.21355321</v>
      </c>
      <c r="O55" s="18" t="n">
        <v>0</v>
      </c>
      <c r="P55" s="20" t="n">
        <v>0</v>
      </c>
      <c r="Q55" s="18" t="n">
        <v>22.79545137</v>
      </c>
      <c r="R55" s="20" t="n">
        <v>1.95220322</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(2789.0/B57*100)</f>
        <v/>
      </c>
      <c r="D57" s="19" t="n">
        <v>554</v>
      </c>
      <c r="E57" s="18" t="n">
        <v>79.38356936</v>
      </c>
      <c r="F57" s="20" t="n">
        <v>1.93908518</v>
      </c>
      <c r="G57" s="18" t="n">
        <v>11.38644867</v>
      </c>
      <c r="H57" s="20" t="n">
        <v>1.45961985</v>
      </c>
      <c r="I57" s="18" t="s">
        <v>349</v>
      </c>
      <c r="J57" s="20" t="s">
        <v>349</v>
      </c>
      <c r="K57" s="18" t="n">
        <v>1.45542863</v>
      </c>
      <c r="L57" s="20" t="n">
        <v>0.56920554</v>
      </c>
      <c r="M57" s="18" t="n">
        <v>0</v>
      </c>
      <c r="N57" s="20" t="n">
        <v>0</v>
      </c>
      <c r="O57" s="18" t="n">
        <v>0</v>
      </c>
      <c r="P57" s="20" t="n">
        <v>0</v>
      </c>
      <c r="Q57" s="18" t="n">
        <v>7.77455334</v>
      </c>
      <c r="R57" s="20" t="n">
        <v>1.45895169</v>
      </c>
    </row>
    <row r="58" spans="1:18">
      <c r="A58" s="15" t="s">
        <v>400</v>
      </c>
      <c r="B58" s="17" t="n">
        <v>3737</v>
      </c>
      <c r="C58" s="18">
        <f>(3120.0/B58*100)</f>
        <v/>
      </c>
      <c r="D58" s="19" t="n">
        <v>617</v>
      </c>
      <c r="E58" s="18" t="n">
        <v>71.00768741</v>
      </c>
      <c r="F58" s="20" t="n">
        <v>1.86874323</v>
      </c>
      <c r="G58" s="18" t="n">
        <v>14.57827234</v>
      </c>
      <c r="H58" s="20" t="n">
        <v>1.52242054</v>
      </c>
      <c r="I58" s="18" t="s">
        <v>349</v>
      </c>
      <c r="J58" s="20" t="s">
        <v>349</v>
      </c>
      <c r="K58" s="18" t="n">
        <v>3.51930015</v>
      </c>
      <c r="L58" s="20" t="n">
        <v>0.81011956</v>
      </c>
      <c r="M58" s="18" t="n">
        <v>0</v>
      </c>
      <c r="N58" s="20" t="n">
        <v>0</v>
      </c>
      <c r="O58" s="18" t="n">
        <v>0</v>
      </c>
      <c r="P58" s="20" t="n">
        <v>0</v>
      </c>
      <c r="Q58" s="18" t="n">
        <v>10.89474011</v>
      </c>
      <c r="R58" s="20" t="n">
        <v>1.36436154</v>
      </c>
    </row>
    <row r="59" spans="1:18">
      <c r="A59" s="15" t="s">
        <v>401</v>
      </c>
      <c r="B59" s="17" t="n">
        <v>2278</v>
      </c>
      <c r="C59" s="18">
        <f>(1920.0/B59*100)</f>
        <v/>
      </c>
      <c r="D59" s="19" t="n">
        <v>358</v>
      </c>
      <c r="E59" s="18" t="n">
        <v>66.42489753</v>
      </c>
      <c r="F59" s="20" t="n">
        <v>3.20593723</v>
      </c>
      <c r="G59" s="18" t="n">
        <v>15.18910708</v>
      </c>
      <c r="H59" s="20" t="n">
        <v>2.18175063</v>
      </c>
      <c r="I59" s="18" t="s">
        <v>349</v>
      </c>
      <c r="J59" s="20" t="s">
        <v>349</v>
      </c>
      <c r="K59" s="18" t="n">
        <v>2.67357576</v>
      </c>
      <c r="L59" s="20" t="n">
        <v>1.41478806</v>
      </c>
      <c r="M59" s="18" t="n">
        <v>0.08060895</v>
      </c>
      <c r="N59" s="20" t="n">
        <v>0.08043405000000001</v>
      </c>
      <c r="O59" s="18" t="n">
        <v>0</v>
      </c>
      <c r="P59" s="20" t="n">
        <v>0</v>
      </c>
      <c r="Q59" s="18" t="n">
        <v>15.63181068</v>
      </c>
      <c r="R59" s="20" t="n">
        <v>2.23471854</v>
      </c>
    </row>
    <row r="60" spans="1:18">
      <c r="A60" s="15" t="s">
        <v>402</v>
      </c>
      <c r="B60" s="17" t="n">
        <v>2451</v>
      </c>
      <c r="C60" s="18">
        <f>(2043.0/B60*100)</f>
        <v/>
      </c>
      <c r="D60" s="19" t="n">
        <v>408</v>
      </c>
      <c r="E60" s="18" t="n">
        <v>49.05731644</v>
      </c>
      <c r="F60" s="20" t="n">
        <v>2.99191007</v>
      </c>
      <c r="G60" s="18" t="n">
        <v>26.07825105</v>
      </c>
      <c r="H60" s="20" t="n">
        <v>2.58136972</v>
      </c>
      <c r="I60" s="18" t="s">
        <v>349</v>
      </c>
      <c r="J60" s="20" t="s">
        <v>349</v>
      </c>
      <c r="K60" s="18" t="n">
        <v>8.69765591</v>
      </c>
      <c r="L60" s="20" t="n">
        <v>1.62446524</v>
      </c>
      <c r="M60" s="18" t="n">
        <v>0</v>
      </c>
      <c r="N60" s="20" t="n">
        <v>0</v>
      </c>
      <c r="O60" s="18" t="n">
        <v>0.29929063</v>
      </c>
      <c r="P60" s="20" t="n">
        <v>0.33935414</v>
      </c>
      <c r="Q60" s="18" t="n">
        <v>15.86748596</v>
      </c>
      <c r="R60" s="20" t="n">
        <v>1.99678381</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(2103.0/B63*100)</f>
        <v/>
      </c>
      <c r="D63" s="19" t="n">
        <v>408</v>
      </c>
      <c r="E63" s="18" t="n">
        <v>31.88632563</v>
      </c>
      <c r="F63" s="20" t="n">
        <v>2.70956572</v>
      </c>
      <c r="G63" s="18" t="n">
        <v>32.70818256</v>
      </c>
      <c r="H63" s="20" t="n">
        <v>2.56468932</v>
      </c>
      <c r="I63" s="18" t="s">
        <v>349</v>
      </c>
      <c r="J63" s="20" t="s">
        <v>349</v>
      </c>
      <c r="K63" s="18" t="n">
        <v>5.80435327</v>
      </c>
      <c r="L63" s="20" t="n">
        <v>1.24048725</v>
      </c>
      <c r="M63" s="18" t="n">
        <v>0</v>
      </c>
      <c r="N63" s="20" t="n">
        <v>0</v>
      </c>
      <c r="O63" s="18" t="n">
        <v>0</v>
      </c>
      <c r="P63" s="20" t="n">
        <v>0</v>
      </c>
      <c r="Q63" s="18" t="n">
        <v>29.60113854</v>
      </c>
      <c r="R63" s="20" t="n">
        <v>2.44859475</v>
      </c>
    </row>
    <row r="64" spans="1:18">
      <c r="A64" s="15" t="s">
        <v>406</v>
      </c>
      <c r="B64" s="17" t="n">
        <v>1790</v>
      </c>
      <c r="C64" s="18">
        <f>(1490.0/B64*100)</f>
        <v/>
      </c>
      <c r="D64" s="19" t="n">
        <v>300</v>
      </c>
      <c r="E64" s="18" t="n">
        <v>59.77139877</v>
      </c>
      <c r="F64" s="20" t="n">
        <v>2.7117354</v>
      </c>
      <c r="G64" s="18" t="n">
        <v>27.19584808</v>
      </c>
      <c r="H64" s="20" t="n">
        <v>2.23141689</v>
      </c>
      <c r="I64" s="18" t="s">
        <v>349</v>
      </c>
      <c r="J64" s="20" t="s">
        <v>349</v>
      </c>
      <c r="K64" s="18" t="n">
        <v>3.4684037</v>
      </c>
      <c r="L64" s="20" t="n">
        <v>1.28301461</v>
      </c>
      <c r="M64" s="18" t="n">
        <v>0</v>
      </c>
      <c r="N64" s="20" t="n">
        <v>0</v>
      </c>
      <c r="O64" s="18" t="n">
        <v>0</v>
      </c>
      <c r="P64" s="20" t="n">
        <v>0</v>
      </c>
      <c r="Q64" s="18" t="n">
        <v>9.564349460000001</v>
      </c>
      <c r="R64" s="20" t="n">
        <v>1.71371755</v>
      </c>
    </row>
    <row r="65" spans="1:18">
      <c r="A65" s="15" t="s">
        <v>407</v>
      </c>
      <c r="B65" s="17" t="n">
        <v>2634</v>
      </c>
      <c r="C65" s="18">
        <f>(2206.0/B65*100)</f>
        <v/>
      </c>
      <c r="D65" s="19" t="n">
        <v>428</v>
      </c>
      <c r="E65" s="18" t="n">
        <v>55.39678723</v>
      </c>
      <c r="F65" s="20" t="n">
        <v>2.34270715</v>
      </c>
      <c r="G65" s="18" t="n">
        <v>20.43360941</v>
      </c>
      <c r="H65" s="20" t="n">
        <v>1.89703412</v>
      </c>
      <c r="I65" s="18" t="s">
        <v>349</v>
      </c>
      <c r="J65" s="20" t="s">
        <v>349</v>
      </c>
      <c r="K65" s="18" t="n">
        <v>6.40864449</v>
      </c>
      <c r="L65" s="20" t="n">
        <v>1.116403</v>
      </c>
      <c r="M65" s="18" t="n">
        <v>0</v>
      </c>
      <c r="N65" s="20" t="n">
        <v>0</v>
      </c>
      <c r="O65" s="18" t="n">
        <v>0</v>
      </c>
      <c r="P65" s="20" t="n">
        <v>0</v>
      </c>
      <c r="Q65" s="18" t="n">
        <v>17.76095887</v>
      </c>
      <c r="R65" s="20" t="n">
        <v>2.04463266</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(2057.0/B69*100)</f>
        <v/>
      </c>
      <c r="D69" s="19" t="n">
        <v>409</v>
      </c>
      <c r="E69" s="18" t="n">
        <v>69.90432448</v>
      </c>
      <c r="F69" s="20" t="n">
        <v>2.31932311</v>
      </c>
      <c r="G69" s="18" t="n">
        <v>29.47390856</v>
      </c>
      <c r="H69" s="20" t="n">
        <v>2.39089256</v>
      </c>
      <c r="I69" s="18" t="s">
        <v>349</v>
      </c>
      <c r="J69" s="20" t="s">
        <v>349</v>
      </c>
      <c r="K69" s="18" t="n">
        <v>0</v>
      </c>
      <c r="L69" s="20" t="n">
        <v>0</v>
      </c>
      <c r="M69" s="18" t="n">
        <v>0</v>
      </c>
      <c r="N69" s="20" t="n">
        <v>0</v>
      </c>
      <c r="O69" s="18" t="n">
        <v>0</v>
      </c>
      <c r="P69" s="20" t="n">
        <v>0</v>
      </c>
      <c r="Q69" s="18" t="n">
        <v>0.62176696</v>
      </c>
      <c r="R69" s="20" t="n">
        <v>0.35906744</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47.39053065</v>
      </c>
      <c r="F74" s="20" t="n">
        <v>2.68051865</v>
      </c>
      <c r="G74" s="18" t="n">
        <v>32.03616893</v>
      </c>
      <c r="H74" s="20" t="n">
        <v>2.50249373</v>
      </c>
      <c r="I74" s="18" t="s">
        <v>349</v>
      </c>
      <c r="J74" s="20" t="s">
        <v>349</v>
      </c>
      <c r="K74" s="18" t="n">
        <v>8.584963760000001</v>
      </c>
      <c r="L74" s="20" t="n">
        <v>1.55729182</v>
      </c>
      <c r="M74" s="18" t="n">
        <v>0</v>
      </c>
      <c r="N74" s="20" t="n">
        <v>0</v>
      </c>
      <c r="O74" s="18" t="n">
        <v>0</v>
      </c>
      <c r="P74" s="20" t="n">
        <v>0</v>
      </c>
      <c r="Q74" s="18" t="n">
        <v>11.98833667</v>
      </c>
      <c r="R74" s="20" t="n">
        <v>1.7774525</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(2528.0/B78*100)</f>
        <v/>
      </c>
      <c r="D78" s="19" t="n">
        <v>512</v>
      </c>
      <c r="E78" s="18" t="n">
        <v>64.64447882</v>
      </c>
      <c r="F78" s="20" t="n">
        <v>2.49483836</v>
      </c>
      <c r="G78" s="18" t="n">
        <v>33.47162481</v>
      </c>
      <c r="H78" s="20" t="n">
        <v>2.30196233</v>
      </c>
      <c r="I78" s="18" t="s">
        <v>349</v>
      </c>
      <c r="J78" s="20" t="s">
        <v>349</v>
      </c>
      <c r="K78" s="18" t="n">
        <v>0.22215842</v>
      </c>
      <c r="L78" s="20" t="n">
        <v>0.22691279</v>
      </c>
      <c r="M78" s="18" t="n">
        <v>0</v>
      </c>
      <c r="N78" s="20" t="n">
        <v>0</v>
      </c>
      <c r="O78" s="18" t="n">
        <v>0</v>
      </c>
      <c r="P78" s="20" t="n">
        <v>0</v>
      </c>
      <c r="Q78" s="18" t="n">
        <v>1.66173795</v>
      </c>
      <c r="R78" s="20" t="n">
        <v>0.63299162</v>
      </c>
    </row>
    <row customHeight="1" ht="25" r="79" spans="1:18">
      <c r="A79" s="15" t="s">
        <v>421</v>
      </c>
      <c r="B79" s="17" t="n">
        <v>870</v>
      </c>
      <c r="C79" s="18">
        <f>(725.0/B79*100)</f>
        <v/>
      </c>
      <c r="D79" s="19" t="n">
        <v>145</v>
      </c>
      <c r="E79" s="18" t="n">
        <v>64.62572677</v>
      </c>
      <c r="F79" s="20" t="n">
        <v>4.71581526</v>
      </c>
      <c r="G79" s="18" t="n">
        <v>18.71573626</v>
      </c>
      <c r="H79" s="20" t="n">
        <v>3.61816652</v>
      </c>
      <c r="I79" s="18" t="s">
        <v>349</v>
      </c>
      <c r="J79" s="20" t="s">
        <v>349</v>
      </c>
      <c r="K79" s="18" t="n">
        <v>6.07097656</v>
      </c>
      <c r="L79" s="20" t="n">
        <v>2.38993058</v>
      </c>
      <c r="M79" s="18" t="n">
        <v>0</v>
      </c>
      <c r="N79" s="20" t="n">
        <v>0</v>
      </c>
      <c r="O79" s="18" t="n">
        <v>0</v>
      </c>
      <c r="P79" s="20" t="n">
        <v>0</v>
      </c>
      <c r="Q79" s="18" t="n">
        <v>10.58756041</v>
      </c>
      <c r="R79" s="20" t="n">
        <v>3.05827143</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590</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row>
    <row r="12" spans="1:20">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row>
    <row r="29" spans="1:20">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2691</v>
      </c>
      <c r="C44" s="18">
        <f>(2235.0/B44*100)</f>
        <v/>
      </c>
      <c r="D44" s="19" t="n">
        <v>456</v>
      </c>
      <c r="E44" s="18" t="n">
        <v>56.7301179</v>
      </c>
      <c r="F44" s="20" t="n">
        <v>2.15025901</v>
      </c>
      <c r="G44" s="18" t="n">
        <v>5.52346966</v>
      </c>
      <c r="H44" s="20" t="n">
        <v>1.00274792</v>
      </c>
      <c r="I44" s="18" t="n">
        <v>5.55413287</v>
      </c>
      <c r="J44" s="20" t="n">
        <v>1.34644497</v>
      </c>
      <c r="K44" s="18" t="s">
        <v>349</v>
      </c>
      <c r="L44" s="20" t="s">
        <v>349</v>
      </c>
      <c r="M44" s="18" t="n">
        <v>2.9739923</v>
      </c>
      <c r="N44" s="20" t="n">
        <v>0.76737103</v>
      </c>
      <c r="O44" s="18" t="n">
        <v>0</v>
      </c>
      <c r="P44" s="20" t="n">
        <v>0</v>
      </c>
      <c r="Q44" s="18" t="n">
        <v>0</v>
      </c>
      <c r="R44" s="20" t="n">
        <v>0</v>
      </c>
      <c r="S44" s="18" t="n">
        <v>29.21828727</v>
      </c>
      <c r="T44" s="20" t="n">
        <v>2.08137118</v>
      </c>
    </row>
    <row r="45" spans="1:20">
      <c r="A45" s="15" t="s">
        <v>387</v>
      </c>
      <c r="B45" s="17" t="n">
        <v>2670</v>
      </c>
      <c r="C45" s="18">
        <f>(2266.0/B45*100)</f>
        <v/>
      </c>
      <c r="D45" s="19" t="n">
        <v>404</v>
      </c>
      <c r="E45" s="18" t="n">
        <v>69.5646876</v>
      </c>
      <c r="F45" s="20" t="n">
        <v>2.45888237</v>
      </c>
      <c r="G45" s="18" t="n">
        <v>2.60988164</v>
      </c>
      <c r="H45" s="20" t="n">
        <v>0.59884444</v>
      </c>
      <c r="I45" s="18" t="n">
        <v>0.29641121</v>
      </c>
      <c r="J45" s="20" t="n">
        <v>0.21249837</v>
      </c>
      <c r="K45" s="18" t="s">
        <v>349</v>
      </c>
      <c r="L45" s="20" t="s">
        <v>349</v>
      </c>
      <c r="M45" s="18" t="n">
        <v>6.56845127</v>
      </c>
      <c r="N45" s="20" t="n">
        <v>1.29576302</v>
      </c>
      <c r="O45" s="18" t="n">
        <v>0.17008619</v>
      </c>
      <c r="P45" s="20" t="n">
        <v>0.10665982</v>
      </c>
      <c r="Q45" s="18" t="n">
        <v>0.33976718</v>
      </c>
      <c r="R45" s="20" t="n">
        <v>0.20455506</v>
      </c>
      <c r="S45" s="18" t="n">
        <v>20.45071491</v>
      </c>
      <c r="T45" s="20" t="n">
        <v>2.31473958</v>
      </c>
    </row>
    <row r="46" spans="1:20">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row>
    <row r="47" spans="1:20">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row>
    <row r="48" spans="1:20">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3331</v>
      </c>
      <c r="C49" s="18">
        <f>(2792.0/B49*100)</f>
        <v/>
      </c>
      <c r="D49" s="19" t="n">
        <v>539</v>
      </c>
      <c r="E49" s="18" t="n">
        <v>64.99904443</v>
      </c>
      <c r="F49" s="20" t="n">
        <v>2.52170289</v>
      </c>
      <c r="G49" s="18" t="n">
        <v>3.67415509</v>
      </c>
      <c r="H49" s="20" t="n">
        <v>0.97378168</v>
      </c>
      <c r="I49" s="18" t="n">
        <v>1.04387712</v>
      </c>
      <c r="J49" s="20" t="n">
        <v>0.4460342</v>
      </c>
      <c r="K49" s="18" t="s">
        <v>349</v>
      </c>
      <c r="L49" s="20" t="s">
        <v>349</v>
      </c>
      <c r="M49" s="18" t="n">
        <v>4.60357327</v>
      </c>
      <c r="N49" s="20" t="n">
        <v>1.19423276</v>
      </c>
      <c r="O49" s="18" t="n">
        <v>0</v>
      </c>
      <c r="P49" s="20" t="n">
        <v>0</v>
      </c>
      <c r="Q49" s="18" t="n">
        <v>0</v>
      </c>
      <c r="R49" s="20" t="n">
        <v>0</v>
      </c>
      <c r="S49" s="18" t="n">
        <v>25.67935009</v>
      </c>
      <c r="T49" s="20" t="n">
        <v>2.42017161</v>
      </c>
    </row>
    <row r="50" spans="1:20">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row>
    <row r="51" spans="1:20">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row>
    <row r="52" spans="1:20">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row>
    <row r="54" spans="1:20">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row>
    <row r="55" spans="1:20">
      <c r="A55" s="15" t="s">
        <v>397</v>
      </c>
      <c r="B55" s="17" t="n">
        <v>2557</v>
      </c>
      <c r="C55" s="18">
        <f>(2118.0/B55*100)</f>
        <v/>
      </c>
      <c r="D55" s="19" t="n">
        <v>439</v>
      </c>
      <c r="E55" s="18" t="n">
        <v>60.54368631</v>
      </c>
      <c r="F55" s="20" t="n">
        <v>2.4664631</v>
      </c>
      <c r="G55" s="18" t="n">
        <v>3.55781683</v>
      </c>
      <c r="H55" s="20" t="n">
        <v>0.92534467</v>
      </c>
      <c r="I55" s="18" t="n">
        <v>0.42988559</v>
      </c>
      <c r="J55" s="20" t="n">
        <v>0.30652783</v>
      </c>
      <c r="K55" s="18" t="s">
        <v>349</v>
      </c>
      <c r="L55" s="20" t="s">
        <v>349</v>
      </c>
      <c r="M55" s="18" t="n">
        <v>4.3224882</v>
      </c>
      <c r="N55" s="20" t="n">
        <v>0.9953456000000001</v>
      </c>
      <c r="O55" s="18" t="n">
        <v>0.21416034</v>
      </c>
      <c r="P55" s="20" t="n">
        <v>0.21355321</v>
      </c>
      <c r="Q55" s="18" t="n">
        <v>0</v>
      </c>
      <c r="R55" s="20" t="n">
        <v>0</v>
      </c>
      <c r="S55" s="18" t="n">
        <v>30.93196272</v>
      </c>
      <c r="T55" s="20" t="n">
        <v>2.26464227</v>
      </c>
    </row>
    <row r="56" spans="1:20">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3343</v>
      </c>
      <c r="C57" s="18">
        <f>(2789.0/B57*100)</f>
        <v/>
      </c>
      <c r="D57" s="19" t="n">
        <v>554</v>
      </c>
      <c r="E57" s="18" t="n">
        <v>85.40325111999999</v>
      </c>
      <c r="F57" s="20" t="n">
        <v>1.95966487</v>
      </c>
      <c r="G57" s="18" t="n">
        <v>1.52623127</v>
      </c>
      <c r="H57" s="20" t="n">
        <v>0.57897404</v>
      </c>
      <c r="I57" s="18" t="n">
        <v>1.70910227</v>
      </c>
      <c r="J57" s="20" t="n">
        <v>0.7358895</v>
      </c>
      <c r="K57" s="18" t="s">
        <v>349</v>
      </c>
      <c r="L57" s="20" t="s">
        <v>349</v>
      </c>
      <c r="M57" s="18" t="n">
        <v>1.94472674</v>
      </c>
      <c r="N57" s="20" t="n">
        <v>0.65772098</v>
      </c>
      <c r="O57" s="18" t="n">
        <v>0</v>
      </c>
      <c r="P57" s="20" t="n">
        <v>0</v>
      </c>
      <c r="Q57" s="18" t="n">
        <v>0</v>
      </c>
      <c r="R57" s="20" t="n">
        <v>0</v>
      </c>
      <c r="S57" s="18" t="n">
        <v>9.416688600000001</v>
      </c>
      <c r="T57" s="20" t="n">
        <v>1.59600298</v>
      </c>
    </row>
    <row r="58" spans="1:20">
      <c r="A58" s="15" t="s">
        <v>400</v>
      </c>
      <c r="B58" s="17" t="n">
        <v>3737</v>
      </c>
      <c r="C58" s="18">
        <f>(3120.0/B58*100)</f>
        <v/>
      </c>
      <c r="D58" s="19" t="n">
        <v>617</v>
      </c>
      <c r="E58" s="18" t="n">
        <v>79.61686319</v>
      </c>
      <c r="F58" s="20" t="n">
        <v>2.15829422</v>
      </c>
      <c r="G58" s="18" t="n">
        <v>1.94831469</v>
      </c>
      <c r="H58" s="20" t="n">
        <v>0.89668307</v>
      </c>
      <c r="I58" s="18" t="n">
        <v>0.40047563</v>
      </c>
      <c r="J58" s="20" t="n">
        <v>0.28751129</v>
      </c>
      <c r="K58" s="18" t="s">
        <v>349</v>
      </c>
      <c r="L58" s="20" t="s">
        <v>349</v>
      </c>
      <c r="M58" s="18" t="n">
        <v>4.32957453</v>
      </c>
      <c r="N58" s="20" t="n">
        <v>0.94999109</v>
      </c>
      <c r="O58" s="18" t="n">
        <v>0</v>
      </c>
      <c r="P58" s="20" t="n">
        <v>0</v>
      </c>
      <c r="Q58" s="18" t="n">
        <v>0</v>
      </c>
      <c r="R58" s="20" t="n">
        <v>0</v>
      </c>
      <c r="S58" s="18" t="n">
        <v>13.70477196</v>
      </c>
      <c r="T58" s="20" t="n">
        <v>1.85444268</v>
      </c>
    </row>
    <row r="59" spans="1:20">
      <c r="A59" s="15" t="s">
        <v>401</v>
      </c>
      <c r="B59" s="17" t="n">
        <v>2278</v>
      </c>
      <c r="C59" s="18">
        <f>(1920.0/B59*100)</f>
        <v/>
      </c>
      <c r="D59" s="19" t="n">
        <v>358</v>
      </c>
      <c r="E59" s="18" t="n">
        <v>74.6253499</v>
      </c>
      <c r="F59" s="20" t="n">
        <v>3.18454933</v>
      </c>
      <c r="G59" s="18" t="n">
        <v>1.97922261</v>
      </c>
      <c r="H59" s="20" t="n">
        <v>1.12788808</v>
      </c>
      <c r="I59" s="18" t="n">
        <v>0</v>
      </c>
      <c r="J59" s="20" t="n">
        <v>0</v>
      </c>
      <c r="K59" s="18" t="s">
        <v>349</v>
      </c>
      <c r="L59" s="20" t="s">
        <v>349</v>
      </c>
      <c r="M59" s="18" t="n">
        <v>3.39778972</v>
      </c>
      <c r="N59" s="20" t="n">
        <v>1.48141691</v>
      </c>
      <c r="O59" s="18" t="n">
        <v>0</v>
      </c>
      <c r="P59" s="20" t="n">
        <v>0</v>
      </c>
      <c r="Q59" s="18" t="n">
        <v>0</v>
      </c>
      <c r="R59" s="20" t="n">
        <v>0</v>
      </c>
      <c r="S59" s="18" t="n">
        <v>19.99763776</v>
      </c>
      <c r="T59" s="20" t="n">
        <v>2.69510912</v>
      </c>
    </row>
    <row r="60" spans="1:20">
      <c r="A60" s="15" t="s">
        <v>402</v>
      </c>
      <c r="B60" s="17" t="n">
        <v>2451</v>
      </c>
      <c r="C60" s="18">
        <f>(2043.0/B60*100)</f>
        <v/>
      </c>
      <c r="D60" s="19" t="n">
        <v>408</v>
      </c>
      <c r="E60" s="18" t="n">
        <v>57.04750766</v>
      </c>
      <c r="F60" s="20" t="n">
        <v>3.23696042</v>
      </c>
      <c r="G60" s="18" t="n">
        <v>4.2607018</v>
      </c>
      <c r="H60" s="20" t="n">
        <v>1.01750996</v>
      </c>
      <c r="I60" s="18" t="n">
        <v>2.61040204</v>
      </c>
      <c r="J60" s="20" t="n">
        <v>0.77434631</v>
      </c>
      <c r="K60" s="18" t="s">
        <v>349</v>
      </c>
      <c r="L60" s="20" t="s">
        <v>349</v>
      </c>
      <c r="M60" s="18" t="n">
        <v>10.55472759</v>
      </c>
      <c r="N60" s="20" t="n">
        <v>1.73610631</v>
      </c>
      <c r="O60" s="18" t="n">
        <v>0.12458396</v>
      </c>
      <c r="P60" s="20" t="n">
        <v>0.12663093</v>
      </c>
      <c r="Q60" s="18" t="n">
        <v>0.29929063</v>
      </c>
      <c r="R60" s="20" t="n">
        <v>0.33935414</v>
      </c>
      <c r="S60" s="18" t="n">
        <v>25.10278633</v>
      </c>
      <c r="T60" s="20" t="n">
        <v>2.46316052</v>
      </c>
    </row>
    <row r="61" spans="1:20">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2511</v>
      </c>
      <c r="C63" s="18">
        <f>(2103.0/B63*100)</f>
        <v/>
      </c>
      <c r="D63" s="19" t="n">
        <v>408</v>
      </c>
      <c r="E63" s="18" t="n">
        <v>51.08684843</v>
      </c>
      <c r="F63" s="20" t="n">
        <v>2.68863287</v>
      </c>
      <c r="G63" s="18" t="n">
        <v>2.25768287</v>
      </c>
      <c r="H63" s="20" t="n">
        <v>0.76579054</v>
      </c>
      <c r="I63" s="18" t="n">
        <v>0.10352299</v>
      </c>
      <c r="J63" s="20" t="n">
        <v>0.10333122</v>
      </c>
      <c r="K63" s="18" t="s">
        <v>349</v>
      </c>
      <c r="L63" s="20" t="s">
        <v>349</v>
      </c>
      <c r="M63" s="18" t="n">
        <v>6.25823951</v>
      </c>
      <c r="N63" s="20" t="n">
        <v>1.26913821</v>
      </c>
      <c r="O63" s="18" t="n">
        <v>0</v>
      </c>
      <c r="P63" s="20" t="n">
        <v>0</v>
      </c>
      <c r="Q63" s="18" t="n">
        <v>0</v>
      </c>
      <c r="R63" s="20" t="n">
        <v>0</v>
      </c>
      <c r="S63" s="18" t="n">
        <v>40.29370619</v>
      </c>
      <c r="T63" s="20" t="n">
        <v>2.59363612</v>
      </c>
    </row>
    <row r="64" spans="1:20">
      <c r="A64" s="15" t="s">
        <v>406</v>
      </c>
      <c r="B64" s="17" t="n">
        <v>1790</v>
      </c>
      <c r="C64" s="18">
        <f>(1490.0/B64*100)</f>
        <v/>
      </c>
      <c r="D64" s="19" t="n">
        <v>300</v>
      </c>
      <c r="E64" s="18" t="n">
        <v>60.29285218</v>
      </c>
      <c r="F64" s="20" t="n">
        <v>2.5570465</v>
      </c>
      <c r="G64" s="18" t="n">
        <v>10.31069399</v>
      </c>
      <c r="H64" s="20" t="n">
        <v>1.68998608</v>
      </c>
      <c r="I64" s="18" t="n">
        <v>12.26995456</v>
      </c>
      <c r="J64" s="20" t="n">
        <v>1.9682018</v>
      </c>
      <c r="K64" s="18" t="s">
        <v>349</v>
      </c>
      <c r="L64" s="20" t="s">
        <v>349</v>
      </c>
      <c r="M64" s="18" t="n">
        <v>3.4684037</v>
      </c>
      <c r="N64" s="20" t="n">
        <v>1.28301461</v>
      </c>
      <c r="O64" s="18" t="n">
        <v>0</v>
      </c>
      <c r="P64" s="20" t="n">
        <v>0</v>
      </c>
      <c r="Q64" s="18" t="n">
        <v>0</v>
      </c>
      <c r="R64" s="20" t="n">
        <v>0</v>
      </c>
      <c r="S64" s="18" t="n">
        <v>13.65809556</v>
      </c>
      <c r="T64" s="20" t="n">
        <v>1.8876939</v>
      </c>
    </row>
    <row r="65" spans="1:20">
      <c r="A65" s="15" t="s">
        <v>407</v>
      </c>
      <c r="B65" s="17" t="n">
        <v>2634</v>
      </c>
      <c r="C65" s="18">
        <f>(2206.0/B65*100)</f>
        <v/>
      </c>
      <c r="D65" s="19" t="n">
        <v>428</v>
      </c>
      <c r="E65" s="18" t="n">
        <v>61.84548239</v>
      </c>
      <c r="F65" s="20" t="n">
        <v>2.84611157</v>
      </c>
      <c r="G65" s="18" t="n">
        <v>3.41936362</v>
      </c>
      <c r="H65" s="20" t="n">
        <v>1.00947513</v>
      </c>
      <c r="I65" s="18" t="n">
        <v>0.69236407</v>
      </c>
      <c r="J65" s="20" t="n">
        <v>0.36971947</v>
      </c>
      <c r="K65" s="18" t="s">
        <v>349</v>
      </c>
      <c r="L65" s="20" t="s">
        <v>349</v>
      </c>
      <c r="M65" s="18" t="n">
        <v>7.85587715</v>
      </c>
      <c r="N65" s="20" t="n">
        <v>1.32246307</v>
      </c>
      <c r="O65" s="18" t="n">
        <v>0</v>
      </c>
      <c r="P65" s="20" t="n">
        <v>0</v>
      </c>
      <c r="Q65" s="18" t="n">
        <v>0</v>
      </c>
      <c r="R65" s="20" t="n">
        <v>0</v>
      </c>
      <c r="S65" s="18" t="n">
        <v>26.18691278</v>
      </c>
      <c r="T65" s="20" t="n">
        <v>2.59720207</v>
      </c>
    </row>
    <row r="66" spans="1:20">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row>
    <row r="68" spans="1:20">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2466</v>
      </c>
      <c r="C69" s="18">
        <f>(2057.0/B69*100)</f>
        <v/>
      </c>
      <c r="D69" s="19" t="n">
        <v>409</v>
      </c>
      <c r="E69" s="18" t="n">
        <v>89.21663375</v>
      </c>
      <c r="F69" s="20" t="n">
        <v>1.75432952</v>
      </c>
      <c r="G69" s="18" t="n">
        <v>5.69726794</v>
      </c>
      <c r="H69" s="20" t="n">
        <v>1.2754725</v>
      </c>
      <c r="I69" s="18" t="n">
        <v>4.64889943</v>
      </c>
      <c r="J69" s="20" t="n">
        <v>1.26689997</v>
      </c>
      <c r="K69" s="18" t="s">
        <v>349</v>
      </c>
      <c r="L69" s="20" t="s">
        <v>349</v>
      </c>
      <c r="M69" s="18" t="n">
        <v>0</v>
      </c>
      <c r="N69" s="20" t="n">
        <v>0</v>
      </c>
      <c r="O69" s="18" t="n">
        <v>0</v>
      </c>
      <c r="P69" s="20" t="n">
        <v>0</v>
      </c>
      <c r="Q69" s="18" t="n">
        <v>0</v>
      </c>
      <c r="R69" s="20" t="n">
        <v>0</v>
      </c>
      <c r="S69" s="18" t="n">
        <v>0.43719888</v>
      </c>
      <c r="T69" s="20" t="n">
        <v>0.31055372</v>
      </c>
    </row>
    <row r="70" spans="1:20">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2453</v>
      </c>
      <c r="C74" s="18">
        <f>(2033.0/B74*100)</f>
        <v/>
      </c>
      <c r="D74" s="19" t="n">
        <v>420</v>
      </c>
      <c r="E74" s="18" t="n">
        <v>69.12842358</v>
      </c>
      <c r="F74" s="20" t="n">
        <v>2.43786115</v>
      </c>
      <c r="G74" s="18" t="n">
        <v>1.2839749</v>
      </c>
      <c r="H74" s="20" t="n">
        <v>0.49078605</v>
      </c>
      <c r="I74" s="18" t="n">
        <v>3.71228029</v>
      </c>
      <c r="J74" s="20" t="n">
        <v>0.98538159</v>
      </c>
      <c r="K74" s="18" t="s">
        <v>349</v>
      </c>
      <c r="L74" s="20" t="s">
        <v>349</v>
      </c>
      <c r="M74" s="18" t="n">
        <v>8.70193285</v>
      </c>
      <c r="N74" s="20" t="n">
        <v>1.55763272</v>
      </c>
      <c r="O74" s="18" t="n">
        <v>0</v>
      </c>
      <c r="P74" s="20" t="n">
        <v>0</v>
      </c>
      <c r="Q74" s="18" t="n">
        <v>0</v>
      </c>
      <c r="R74" s="20" t="n">
        <v>0</v>
      </c>
      <c r="S74" s="18" t="n">
        <v>17.17338838</v>
      </c>
      <c r="T74" s="20" t="n">
        <v>1.90856092</v>
      </c>
    </row>
    <row r="75" spans="1:20">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row>
    <row r="76" spans="1:20">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row>
    <row r="77" spans="1:20">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row>
    <row r="78" spans="1:20">
      <c r="A78" s="15" t="s">
        <v>420</v>
      </c>
      <c r="B78" s="17" t="n">
        <v>3040</v>
      </c>
      <c r="C78" s="18">
        <f>(2528.0/B78*100)</f>
        <v/>
      </c>
      <c r="D78" s="19" t="n">
        <v>512</v>
      </c>
      <c r="E78" s="18" t="n">
        <v>84.83261107</v>
      </c>
      <c r="F78" s="20" t="n">
        <v>1.88969343</v>
      </c>
      <c r="G78" s="18" t="n">
        <v>8.61043488</v>
      </c>
      <c r="H78" s="20" t="n">
        <v>1.41037361</v>
      </c>
      <c r="I78" s="18" t="n">
        <v>5.25962165</v>
      </c>
      <c r="J78" s="20" t="n">
        <v>1.37080305</v>
      </c>
      <c r="K78" s="18" t="s">
        <v>349</v>
      </c>
      <c r="L78" s="20" t="s">
        <v>349</v>
      </c>
      <c r="M78" s="18" t="n">
        <v>0.22215842</v>
      </c>
      <c r="N78" s="20" t="n">
        <v>0.22691279</v>
      </c>
      <c r="O78" s="18" t="n">
        <v>0</v>
      </c>
      <c r="P78" s="20" t="n">
        <v>0</v>
      </c>
      <c r="Q78" s="18" t="n">
        <v>0</v>
      </c>
      <c r="R78" s="20" t="n">
        <v>0</v>
      </c>
      <c r="S78" s="18" t="n">
        <v>1.07517399</v>
      </c>
      <c r="T78" s="20" t="n">
        <v>0.46029943</v>
      </c>
    </row>
    <row customHeight="1" ht="25" r="79" spans="1:20">
      <c r="A79" s="15" t="s">
        <v>421</v>
      </c>
      <c r="B79" s="17" t="n">
        <v>870</v>
      </c>
      <c r="C79" s="18">
        <f>(725.0/B79*100)</f>
        <v/>
      </c>
      <c r="D79" s="19" t="n">
        <v>145</v>
      </c>
      <c r="E79" s="18" t="n">
        <v>65.93318864</v>
      </c>
      <c r="F79" s="20" t="n">
        <v>4.85097065</v>
      </c>
      <c r="G79" s="18" t="n">
        <v>4.26564054</v>
      </c>
      <c r="H79" s="20" t="n">
        <v>1.75513344</v>
      </c>
      <c r="I79" s="18" t="n">
        <v>2.07020301</v>
      </c>
      <c r="J79" s="20" t="n">
        <v>1.07561048</v>
      </c>
      <c r="K79" s="18" t="s">
        <v>349</v>
      </c>
      <c r="L79" s="20" t="s">
        <v>349</v>
      </c>
      <c r="M79" s="18" t="n">
        <v>6.94879098</v>
      </c>
      <c r="N79" s="20" t="n">
        <v>2.23538921</v>
      </c>
      <c r="O79" s="18" t="n">
        <v>0</v>
      </c>
      <c r="P79" s="20" t="n">
        <v>0</v>
      </c>
      <c r="Q79" s="18" t="n">
        <v>0</v>
      </c>
      <c r="R79" s="20" t="n">
        <v>0</v>
      </c>
      <c r="S79" s="18" t="n">
        <v>20.78217683</v>
      </c>
      <c r="T79" s="20" t="n">
        <v>3.83664686</v>
      </c>
    </row>
    <row r="80" spans="1:20">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(2235.0/B44*100)</f>
        <v/>
      </c>
      <c r="D44" s="19" t="n">
        <v>456</v>
      </c>
      <c r="E44" s="18" t="n">
        <v>44.29201697</v>
      </c>
      <c r="F44" s="20" t="n">
        <v>2.79387821</v>
      </c>
      <c r="G44" s="18" t="n">
        <v>41.74932326</v>
      </c>
      <c r="H44" s="20" t="n">
        <v>2.77712209</v>
      </c>
      <c r="I44" s="18" t="s">
        <v>349</v>
      </c>
      <c r="J44" s="20" t="s">
        <v>349</v>
      </c>
      <c r="K44" s="18" t="n">
        <v>5.05576858</v>
      </c>
      <c r="L44" s="20" t="n">
        <v>1.05990155</v>
      </c>
      <c r="M44" s="18" t="n">
        <v>0</v>
      </c>
      <c r="N44" s="20" t="n">
        <v>0</v>
      </c>
      <c r="O44" s="18" t="n">
        <v>0</v>
      </c>
      <c r="P44" s="20" t="n">
        <v>0</v>
      </c>
      <c r="Q44" s="18" t="n">
        <v>8.90289119</v>
      </c>
      <c r="R44" s="20" t="n">
        <v>1.47013155</v>
      </c>
    </row>
    <row r="45" spans="1:18">
      <c r="A45" s="15" t="s">
        <v>387</v>
      </c>
      <c r="B45" s="17" t="n">
        <v>2670</v>
      </c>
      <c r="C45" s="18">
        <f>(2266.0/B45*100)</f>
        <v/>
      </c>
      <c r="D45" s="19" t="n">
        <v>404</v>
      </c>
      <c r="E45" s="18" t="n">
        <v>43.48806775</v>
      </c>
      <c r="F45" s="20" t="n">
        <v>2.49492271</v>
      </c>
      <c r="G45" s="18" t="n">
        <v>38.7197442</v>
      </c>
      <c r="H45" s="20" t="n">
        <v>2.76243667</v>
      </c>
      <c r="I45" s="18" t="s">
        <v>349</v>
      </c>
      <c r="J45" s="20" t="s">
        <v>349</v>
      </c>
      <c r="K45" s="18" t="n">
        <v>10.16549892</v>
      </c>
      <c r="L45" s="20" t="n">
        <v>1.66988287</v>
      </c>
      <c r="M45" s="18" t="n">
        <v>0.28861029</v>
      </c>
      <c r="N45" s="20" t="n">
        <v>0.16479399</v>
      </c>
      <c r="O45" s="18" t="n">
        <v>0</v>
      </c>
      <c r="P45" s="20" t="n">
        <v>0</v>
      </c>
      <c r="Q45" s="18" t="n">
        <v>7.33807884</v>
      </c>
      <c r="R45" s="20" t="n">
        <v>1.47104236</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(2792.0/B49*100)</f>
        <v/>
      </c>
      <c r="D49" s="19" t="n">
        <v>539</v>
      </c>
      <c r="E49" s="18" t="n">
        <v>49.19885134</v>
      </c>
      <c r="F49" s="20" t="n">
        <v>2.44207612</v>
      </c>
      <c r="G49" s="18" t="n">
        <v>38.77117891</v>
      </c>
      <c r="H49" s="20" t="n">
        <v>2.58092507</v>
      </c>
      <c r="I49" s="18" t="s">
        <v>349</v>
      </c>
      <c r="J49" s="20" t="s">
        <v>349</v>
      </c>
      <c r="K49" s="18" t="n">
        <v>6.11660126</v>
      </c>
      <c r="L49" s="20" t="n">
        <v>1.22045621</v>
      </c>
      <c r="M49" s="18" t="n">
        <v>0</v>
      </c>
      <c r="N49" s="20" t="n">
        <v>0</v>
      </c>
      <c r="O49" s="18" t="n">
        <v>0</v>
      </c>
      <c r="P49" s="20" t="n">
        <v>0</v>
      </c>
      <c r="Q49" s="18" t="n">
        <v>5.91336849</v>
      </c>
      <c r="R49" s="20" t="n">
        <v>1.13958432</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(2118.0/B55*100)</f>
        <v/>
      </c>
      <c r="D55" s="19" t="n">
        <v>439</v>
      </c>
      <c r="E55" s="18" t="n">
        <v>52.59444115</v>
      </c>
      <c r="F55" s="20" t="n">
        <v>2.17991649</v>
      </c>
      <c r="G55" s="18" t="n">
        <v>36.1072752</v>
      </c>
      <c r="H55" s="20" t="n">
        <v>2.14933977</v>
      </c>
      <c r="I55" s="18" t="s">
        <v>349</v>
      </c>
      <c r="J55" s="20" t="s">
        <v>349</v>
      </c>
      <c r="K55" s="18" t="n">
        <v>4.68328481</v>
      </c>
      <c r="L55" s="20" t="n">
        <v>1.07095442</v>
      </c>
      <c r="M55" s="18" t="n">
        <v>0.21416034</v>
      </c>
      <c r="N55" s="20" t="n">
        <v>0.21355321</v>
      </c>
      <c r="O55" s="18" t="n">
        <v>0.2125777</v>
      </c>
      <c r="P55" s="20" t="n">
        <v>0.21745335</v>
      </c>
      <c r="Q55" s="18" t="n">
        <v>6.1882608</v>
      </c>
      <c r="R55" s="20" t="n">
        <v>1.18749153</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(2789.0/B57*100)</f>
        <v/>
      </c>
      <c r="D57" s="19" t="n">
        <v>554</v>
      </c>
      <c r="E57" s="18" t="n">
        <v>50.58425398</v>
      </c>
      <c r="F57" s="20" t="n">
        <v>2.24077755</v>
      </c>
      <c r="G57" s="18" t="n">
        <v>43.4707647</v>
      </c>
      <c r="H57" s="20" t="n">
        <v>2.15964403</v>
      </c>
      <c r="I57" s="18" t="s">
        <v>349</v>
      </c>
      <c r="J57" s="20" t="s">
        <v>349</v>
      </c>
      <c r="K57" s="18" t="n">
        <v>2.65119186</v>
      </c>
      <c r="L57" s="20" t="n">
        <v>0.75394783</v>
      </c>
      <c r="M57" s="18" t="n">
        <v>0</v>
      </c>
      <c r="N57" s="20" t="n">
        <v>0</v>
      </c>
      <c r="O57" s="18" t="n">
        <v>0</v>
      </c>
      <c r="P57" s="20" t="n">
        <v>0</v>
      </c>
      <c r="Q57" s="18" t="n">
        <v>3.29378946</v>
      </c>
      <c r="R57" s="20" t="n">
        <v>1.0052114</v>
      </c>
    </row>
    <row r="58" spans="1:18">
      <c r="A58" s="15" t="s">
        <v>400</v>
      </c>
      <c r="B58" s="17" t="n">
        <v>3737</v>
      </c>
      <c r="C58" s="18">
        <f>(3120.0/B58*100)</f>
        <v/>
      </c>
      <c r="D58" s="19" t="n">
        <v>617</v>
      </c>
      <c r="E58" s="18" t="n">
        <v>50.66470891</v>
      </c>
      <c r="F58" s="20" t="n">
        <v>2.35001489</v>
      </c>
      <c r="G58" s="18" t="n">
        <v>39.53718409</v>
      </c>
      <c r="H58" s="20" t="n">
        <v>2.28412672</v>
      </c>
      <c r="I58" s="18" t="s">
        <v>349</v>
      </c>
      <c r="J58" s="20" t="s">
        <v>349</v>
      </c>
      <c r="K58" s="18" t="n">
        <v>4.80172309</v>
      </c>
      <c r="L58" s="20" t="n">
        <v>1.01925535</v>
      </c>
      <c r="M58" s="18" t="n">
        <v>0</v>
      </c>
      <c r="N58" s="20" t="n">
        <v>0</v>
      </c>
      <c r="O58" s="18" t="n">
        <v>0</v>
      </c>
      <c r="P58" s="20" t="n">
        <v>0</v>
      </c>
      <c r="Q58" s="18" t="n">
        <v>4.99638391</v>
      </c>
      <c r="R58" s="20" t="n">
        <v>1.04255048</v>
      </c>
    </row>
    <row r="59" spans="1:18">
      <c r="A59" s="15" t="s">
        <v>401</v>
      </c>
      <c r="B59" s="17" t="n">
        <v>2278</v>
      </c>
      <c r="C59" s="18">
        <f>(1920.0/B59*100)</f>
        <v/>
      </c>
      <c r="D59" s="19" t="n">
        <v>358</v>
      </c>
      <c r="E59" s="18" t="n">
        <v>60.69084093</v>
      </c>
      <c r="F59" s="20" t="n">
        <v>3.16421638</v>
      </c>
      <c r="G59" s="18" t="n">
        <v>25.78371255</v>
      </c>
      <c r="H59" s="20" t="n">
        <v>2.59433915</v>
      </c>
      <c r="I59" s="18" t="s">
        <v>349</v>
      </c>
      <c r="J59" s="20" t="s">
        <v>349</v>
      </c>
      <c r="K59" s="18" t="n">
        <v>3.98032335</v>
      </c>
      <c r="L59" s="20" t="n">
        <v>1.51922197</v>
      </c>
      <c r="M59" s="18" t="n">
        <v>0</v>
      </c>
      <c r="N59" s="20" t="n">
        <v>0</v>
      </c>
      <c r="O59" s="18" t="n">
        <v>0</v>
      </c>
      <c r="P59" s="20" t="n">
        <v>0</v>
      </c>
      <c r="Q59" s="18" t="n">
        <v>9.54512317</v>
      </c>
      <c r="R59" s="20" t="n">
        <v>1.82936622</v>
      </c>
    </row>
    <row r="60" spans="1:18">
      <c r="A60" s="15" t="s">
        <v>402</v>
      </c>
      <c r="B60" s="17" t="n">
        <v>2451</v>
      </c>
      <c r="C60" s="18">
        <f>(2043.0/B60*100)</f>
        <v/>
      </c>
      <c r="D60" s="19" t="n">
        <v>408</v>
      </c>
      <c r="E60" s="18" t="n">
        <v>38.11268585</v>
      </c>
      <c r="F60" s="20" t="n">
        <v>2.96440999</v>
      </c>
      <c r="G60" s="18" t="n">
        <v>35.6883968</v>
      </c>
      <c r="H60" s="20" t="n">
        <v>2.29673626</v>
      </c>
      <c r="I60" s="18" t="s">
        <v>349</v>
      </c>
      <c r="J60" s="20" t="s">
        <v>349</v>
      </c>
      <c r="K60" s="18" t="n">
        <v>11.8720923</v>
      </c>
      <c r="L60" s="20" t="n">
        <v>1.79652743</v>
      </c>
      <c r="M60" s="18" t="n">
        <v>0.28394456</v>
      </c>
      <c r="N60" s="20" t="n">
        <v>0.27727404</v>
      </c>
      <c r="O60" s="18" t="n">
        <v>0.29929063</v>
      </c>
      <c r="P60" s="20" t="n">
        <v>0.33935414</v>
      </c>
      <c r="Q60" s="18" t="n">
        <v>13.74358987</v>
      </c>
      <c r="R60" s="20" t="n">
        <v>1.92495288</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(2103.0/B63*100)</f>
        <v/>
      </c>
      <c r="D63" s="19" t="n">
        <v>408</v>
      </c>
      <c r="E63" s="18" t="n">
        <v>49.14854705</v>
      </c>
      <c r="F63" s="20" t="n">
        <v>2.58043728</v>
      </c>
      <c r="G63" s="18" t="n">
        <v>27.94737528</v>
      </c>
      <c r="H63" s="20" t="n">
        <v>2.40483545</v>
      </c>
      <c r="I63" s="18" t="s">
        <v>349</v>
      </c>
      <c r="J63" s="20" t="s">
        <v>349</v>
      </c>
      <c r="K63" s="18" t="n">
        <v>7.3555059</v>
      </c>
      <c r="L63" s="20" t="n">
        <v>1.36153282</v>
      </c>
      <c r="M63" s="18" t="n">
        <v>0</v>
      </c>
      <c r="N63" s="20" t="n">
        <v>0</v>
      </c>
      <c r="O63" s="18" t="n">
        <v>0</v>
      </c>
      <c r="P63" s="20" t="n">
        <v>0</v>
      </c>
      <c r="Q63" s="18" t="n">
        <v>15.54857177</v>
      </c>
      <c r="R63" s="20" t="n">
        <v>1.92242088</v>
      </c>
    </row>
    <row r="64" spans="1:18">
      <c r="A64" s="15" t="s">
        <v>406</v>
      </c>
      <c r="B64" s="17" t="n">
        <v>1790</v>
      </c>
      <c r="C64" s="18">
        <f>(1490.0/B64*100)</f>
        <v/>
      </c>
      <c r="D64" s="19" t="n">
        <v>300</v>
      </c>
      <c r="E64" s="18" t="n">
        <v>27.86194781</v>
      </c>
      <c r="F64" s="20" t="n">
        <v>2.79591833</v>
      </c>
      <c r="G64" s="18" t="n">
        <v>64.07835167</v>
      </c>
      <c r="H64" s="20" t="n">
        <v>2.99852567</v>
      </c>
      <c r="I64" s="18" t="s">
        <v>349</v>
      </c>
      <c r="J64" s="20" t="s">
        <v>349</v>
      </c>
      <c r="K64" s="18" t="n">
        <v>3.4684037</v>
      </c>
      <c r="L64" s="20" t="n">
        <v>1.28301461</v>
      </c>
      <c r="M64" s="18" t="n">
        <v>0</v>
      </c>
      <c r="N64" s="20" t="n">
        <v>0</v>
      </c>
      <c r="O64" s="18" t="n">
        <v>0</v>
      </c>
      <c r="P64" s="20" t="n">
        <v>0</v>
      </c>
      <c r="Q64" s="18" t="n">
        <v>4.59129682</v>
      </c>
      <c r="R64" s="20" t="n">
        <v>1.35186483</v>
      </c>
    </row>
    <row r="65" spans="1:18">
      <c r="A65" s="15" t="s">
        <v>407</v>
      </c>
      <c r="B65" s="17" t="n">
        <v>2634</v>
      </c>
      <c r="C65" s="18">
        <f>(2206.0/B65*100)</f>
        <v/>
      </c>
      <c r="D65" s="19" t="n">
        <v>428</v>
      </c>
      <c r="E65" s="18" t="n">
        <v>44.20331972</v>
      </c>
      <c r="F65" s="20" t="n">
        <v>2.33814916</v>
      </c>
      <c r="G65" s="18" t="n">
        <v>44.59658702</v>
      </c>
      <c r="H65" s="20" t="n">
        <v>2.54756133</v>
      </c>
      <c r="I65" s="18" t="s">
        <v>349</v>
      </c>
      <c r="J65" s="20" t="s">
        <v>349</v>
      </c>
      <c r="K65" s="18" t="n">
        <v>8.70142646</v>
      </c>
      <c r="L65" s="20" t="n">
        <v>1.34895385</v>
      </c>
      <c r="M65" s="18" t="n">
        <v>0</v>
      </c>
      <c r="N65" s="20" t="n">
        <v>0</v>
      </c>
      <c r="O65" s="18" t="n">
        <v>0</v>
      </c>
      <c r="P65" s="20" t="n">
        <v>0</v>
      </c>
      <c r="Q65" s="18" t="n">
        <v>2.4986668</v>
      </c>
      <c r="R65" s="20" t="n">
        <v>0.81580689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(2057.0/B69*100)</f>
        <v/>
      </c>
      <c r="D69" s="19" t="n">
        <v>409</v>
      </c>
      <c r="E69" s="18" t="n">
        <v>60.19534448</v>
      </c>
      <c r="F69" s="20" t="n">
        <v>2.6841505</v>
      </c>
      <c r="G69" s="18" t="n">
        <v>39.80465552</v>
      </c>
      <c r="H69" s="20" t="n">
        <v>2.6841505</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40.05716677</v>
      </c>
      <c r="F74" s="20" t="n">
        <v>2.62812636</v>
      </c>
      <c r="G74" s="18" t="n">
        <v>46.4436471</v>
      </c>
      <c r="H74" s="20" t="n">
        <v>2.6208376</v>
      </c>
      <c r="I74" s="18" t="s">
        <v>349</v>
      </c>
      <c r="J74" s="20" t="s">
        <v>349</v>
      </c>
      <c r="K74" s="18" t="n">
        <v>9.677733140000001</v>
      </c>
      <c r="L74" s="20" t="n">
        <v>1.5843875</v>
      </c>
      <c r="M74" s="18" t="n">
        <v>0</v>
      </c>
      <c r="N74" s="20" t="n">
        <v>0</v>
      </c>
      <c r="O74" s="18" t="n">
        <v>0</v>
      </c>
      <c r="P74" s="20" t="n">
        <v>0</v>
      </c>
      <c r="Q74" s="18" t="n">
        <v>3.82145299</v>
      </c>
      <c r="R74" s="20" t="n">
        <v>0.88752628</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(2528.0/B78*100)</f>
        <v/>
      </c>
      <c r="D78" s="19" t="n">
        <v>512</v>
      </c>
      <c r="E78" s="18" t="n">
        <v>44.62231096</v>
      </c>
      <c r="F78" s="20" t="n">
        <v>2.43715782</v>
      </c>
      <c r="G78" s="18" t="n">
        <v>54.46366203</v>
      </c>
      <c r="H78" s="20" t="n">
        <v>2.41270744</v>
      </c>
      <c r="I78" s="18" t="s">
        <v>349</v>
      </c>
      <c r="J78" s="20" t="s">
        <v>349</v>
      </c>
      <c r="K78" s="18" t="n">
        <v>0.22215842</v>
      </c>
      <c r="L78" s="20" t="n">
        <v>0.22691279</v>
      </c>
      <c r="M78" s="18" t="n">
        <v>0</v>
      </c>
      <c r="N78" s="20" t="n">
        <v>0</v>
      </c>
      <c r="O78" s="18" t="n">
        <v>0</v>
      </c>
      <c r="P78" s="20" t="n">
        <v>0</v>
      </c>
      <c r="Q78" s="18" t="n">
        <v>0.6918685999999999</v>
      </c>
      <c r="R78" s="20" t="n">
        <v>0.4736295</v>
      </c>
    </row>
    <row customHeight="1" ht="25" r="79" spans="1:18">
      <c r="A79" s="15" t="s">
        <v>421</v>
      </c>
      <c r="B79" s="17" t="n">
        <v>870</v>
      </c>
      <c r="C79" s="18">
        <f>(725.0/B79*100)</f>
        <v/>
      </c>
      <c r="D79" s="19" t="n">
        <v>145</v>
      </c>
      <c r="E79" s="18" t="n">
        <v>38.8049621</v>
      </c>
      <c r="F79" s="20" t="n">
        <v>4.3657024</v>
      </c>
      <c r="G79" s="18" t="n">
        <v>49.17787469</v>
      </c>
      <c r="H79" s="20" t="n">
        <v>4.49804268</v>
      </c>
      <c r="I79" s="18" t="s">
        <v>349</v>
      </c>
      <c r="J79" s="20" t="s">
        <v>349</v>
      </c>
      <c r="K79" s="18" t="n">
        <v>7.98025142</v>
      </c>
      <c r="L79" s="20" t="n">
        <v>2.32737264</v>
      </c>
      <c r="M79" s="18" t="n">
        <v>0</v>
      </c>
      <c r="N79" s="20" t="n">
        <v>0</v>
      </c>
      <c r="O79" s="18" t="n">
        <v>0</v>
      </c>
      <c r="P79" s="20" t="n">
        <v>0</v>
      </c>
      <c r="Q79" s="18" t="n">
        <v>4.03691179</v>
      </c>
      <c r="R79" s="20" t="n">
        <v>1.75957934</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(2235.0/B44*100)</f>
        <v/>
      </c>
      <c r="D44" s="19" t="n">
        <v>456</v>
      </c>
      <c r="E44" s="18" t="n">
        <v>58.05510705</v>
      </c>
      <c r="F44" s="20" t="n">
        <v>3.54978001</v>
      </c>
      <c r="G44" s="18" t="n">
        <v>33.56605288</v>
      </c>
      <c r="H44" s="20" t="n">
        <v>3.50229863</v>
      </c>
      <c r="I44" s="18" t="s">
        <v>349</v>
      </c>
      <c r="J44" s="20" t="s">
        <v>349</v>
      </c>
      <c r="K44" s="18" t="n">
        <v>8.37884006</v>
      </c>
      <c r="L44" s="20" t="n">
        <v>1.31222614</v>
      </c>
      <c r="M44" s="18" t="n">
        <v>0</v>
      </c>
      <c r="N44" s="20" t="n">
        <v>0</v>
      </c>
      <c r="O44" s="18" t="n">
        <v>0</v>
      </c>
      <c r="P44" s="20" t="n">
        <v>0</v>
      </c>
      <c r="Q44" s="18" t="n">
        <v>0</v>
      </c>
      <c r="R44" s="20" t="n">
        <v>0</v>
      </c>
    </row>
    <row r="45" spans="1:18">
      <c r="A45" s="15" t="s">
        <v>387</v>
      </c>
      <c r="B45" s="17" t="n">
        <v>2670</v>
      </c>
      <c r="C45" s="18">
        <f>(2266.0/B45*100)</f>
        <v/>
      </c>
      <c r="D45" s="19" t="n">
        <v>404</v>
      </c>
      <c r="E45" s="18" t="n">
        <v>52.27292825</v>
      </c>
      <c r="F45" s="20" t="n">
        <v>2.60138889</v>
      </c>
      <c r="G45" s="18" t="n">
        <v>35.14584327</v>
      </c>
      <c r="H45" s="20" t="n">
        <v>2.66089522</v>
      </c>
      <c r="I45" s="18" t="s">
        <v>349</v>
      </c>
      <c r="J45" s="20" t="s">
        <v>349</v>
      </c>
      <c r="K45" s="18" t="n">
        <v>12.58122848</v>
      </c>
      <c r="L45" s="20" t="n">
        <v>1.91244905</v>
      </c>
      <c r="M45" s="18" t="n">
        <v>0</v>
      </c>
      <c r="N45" s="20" t="n">
        <v>0</v>
      </c>
      <c r="O45" s="18" t="n">
        <v>0</v>
      </c>
      <c r="P45" s="20" t="n">
        <v>0</v>
      </c>
      <c r="Q45" s="18" t="n">
        <v>0</v>
      </c>
      <c r="R45" s="20" t="n">
        <v>0</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(2792.0/B49*100)</f>
        <v/>
      </c>
      <c r="D49" s="19" t="n">
        <v>539</v>
      </c>
      <c r="E49" s="18" t="n">
        <v>53.20547676</v>
      </c>
      <c r="F49" s="20" t="n">
        <v>2.52113129</v>
      </c>
      <c r="G49" s="18" t="n">
        <v>40.32731207</v>
      </c>
      <c r="H49" s="20" t="n">
        <v>2.32160939</v>
      </c>
      <c r="I49" s="18" t="s">
        <v>349</v>
      </c>
      <c r="J49" s="20" t="s">
        <v>349</v>
      </c>
      <c r="K49" s="18" t="n">
        <v>6.38386542</v>
      </c>
      <c r="L49" s="20" t="n">
        <v>1.25820392</v>
      </c>
      <c r="M49" s="18" t="n">
        <v>0</v>
      </c>
      <c r="N49" s="20" t="n">
        <v>0</v>
      </c>
      <c r="O49" s="18" t="n">
        <v>0.08334574</v>
      </c>
      <c r="P49" s="20" t="n">
        <v>0.06102009</v>
      </c>
      <c r="Q49" s="18" t="n">
        <v>0</v>
      </c>
      <c r="R49" s="20" t="n">
        <v>0</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(2118.0/B55*100)</f>
        <v/>
      </c>
      <c r="D55" s="19" t="n">
        <v>439</v>
      </c>
      <c r="E55" s="18" t="n">
        <v>63.28976201</v>
      </c>
      <c r="F55" s="20" t="n">
        <v>2.1420532</v>
      </c>
      <c r="G55" s="18" t="n">
        <v>31.26658095</v>
      </c>
      <c r="H55" s="20" t="n">
        <v>2.09134239</v>
      </c>
      <c r="I55" s="18" t="s">
        <v>349</v>
      </c>
      <c r="J55" s="20" t="s">
        <v>349</v>
      </c>
      <c r="K55" s="18" t="n">
        <v>5.2294967</v>
      </c>
      <c r="L55" s="20" t="n">
        <v>1.11383426</v>
      </c>
      <c r="M55" s="18" t="n">
        <v>0.21416034</v>
      </c>
      <c r="N55" s="20" t="n">
        <v>0.21355321</v>
      </c>
      <c r="O55" s="18" t="n">
        <v>0</v>
      </c>
      <c r="P55" s="20" t="n">
        <v>0</v>
      </c>
      <c r="Q55" s="18" t="n">
        <v>0</v>
      </c>
      <c r="R55" s="20" t="n">
        <v>0</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(2789.0/B57*100)</f>
        <v/>
      </c>
      <c r="D57" s="19" t="n">
        <v>554</v>
      </c>
      <c r="E57" s="18" t="n">
        <v>71.68803259000001</v>
      </c>
      <c r="F57" s="20" t="n">
        <v>2.25799513</v>
      </c>
      <c r="G57" s="18" t="n">
        <v>24.82290048</v>
      </c>
      <c r="H57" s="20" t="n">
        <v>2.27198393</v>
      </c>
      <c r="I57" s="18" t="s">
        <v>349</v>
      </c>
      <c r="J57" s="20" t="s">
        <v>349</v>
      </c>
      <c r="K57" s="18" t="n">
        <v>3.48906693</v>
      </c>
      <c r="L57" s="20" t="n">
        <v>0.92462709</v>
      </c>
      <c r="M57" s="18" t="n">
        <v>0</v>
      </c>
      <c r="N57" s="20" t="n">
        <v>0</v>
      </c>
      <c r="O57" s="18" t="n">
        <v>0</v>
      </c>
      <c r="P57" s="20" t="n">
        <v>0</v>
      </c>
      <c r="Q57" s="18" t="n">
        <v>0</v>
      </c>
      <c r="R57" s="20" t="n">
        <v>0</v>
      </c>
    </row>
    <row r="58" spans="1:18">
      <c r="A58" s="15" t="s">
        <v>400</v>
      </c>
      <c r="B58" s="17" t="n">
        <v>3737</v>
      </c>
      <c r="C58" s="18">
        <f>(3120.0/B58*100)</f>
        <v/>
      </c>
      <c r="D58" s="19" t="n">
        <v>617</v>
      </c>
      <c r="E58" s="18" t="n">
        <v>65.2838045</v>
      </c>
      <c r="F58" s="20" t="n">
        <v>2.36164065</v>
      </c>
      <c r="G58" s="18" t="n">
        <v>29.55968417</v>
      </c>
      <c r="H58" s="20" t="n">
        <v>2.36116035</v>
      </c>
      <c r="I58" s="18" t="s">
        <v>349</v>
      </c>
      <c r="J58" s="20" t="s">
        <v>349</v>
      </c>
      <c r="K58" s="18" t="n">
        <v>5.15651133</v>
      </c>
      <c r="L58" s="20" t="n">
        <v>1.05429989</v>
      </c>
      <c r="M58" s="18" t="n">
        <v>0</v>
      </c>
      <c r="N58" s="20" t="n">
        <v>0</v>
      </c>
      <c r="O58" s="18" t="n">
        <v>0</v>
      </c>
      <c r="P58" s="20" t="n">
        <v>0</v>
      </c>
      <c r="Q58" s="18" t="n">
        <v>0</v>
      </c>
      <c r="R58" s="20" t="n">
        <v>0</v>
      </c>
    </row>
    <row r="59" spans="1:18">
      <c r="A59" s="15" t="s">
        <v>401</v>
      </c>
      <c r="B59" s="17" t="n">
        <v>2278</v>
      </c>
      <c r="C59" s="18">
        <f>(1920.0/B59*100)</f>
        <v/>
      </c>
      <c r="D59" s="19" t="n">
        <v>358</v>
      </c>
      <c r="E59" s="18" t="n">
        <v>67.59480761</v>
      </c>
      <c r="F59" s="20" t="n">
        <v>2.86502182</v>
      </c>
      <c r="G59" s="18" t="n">
        <v>27.51891051</v>
      </c>
      <c r="H59" s="20" t="n">
        <v>2.5657375</v>
      </c>
      <c r="I59" s="18" t="s">
        <v>349</v>
      </c>
      <c r="J59" s="20" t="s">
        <v>349</v>
      </c>
      <c r="K59" s="18" t="n">
        <v>4.88628188</v>
      </c>
      <c r="L59" s="20" t="n">
        <v>1.56181976</v>
      </c>
      <c r="M59" s="18" t="n">
        <v>0</v>
      </c>
      <c r="N59" s="20" t="n">
        <v>0</v>
      </c>
      <c r="O59" s="18" t="n">
        <v>0</v>
      </c>
      <c r="P59" s="20" t="n">
        <v>0</v>
      </c>
      <c r="Q59" s="18" t="n">
        <v>0</v>
      </c>
      <c r="R59" s="20" t="n">
        <v>0</v>
      </c>
    </row>
    <row r="60" spans="1:18">
      <c r="A60" s="15" t="s">
        <v>402</v>
      </c>
      <c r="B60" s="17" t="n">
        <v>2451</v>
      </c>
      <c r="C60" s="18">
        <f>(2043.0/B60*100)</f>
        <v/>
      </c>
      <c r="D60" s="19" t="n">
        <v>408</v>
      </c>
      <c r="E60" s="18" t="n">
        <v>47.25223925</v>
      </c>
      <c r="F60" s="20" t="n">
        <v>2.96948285</v>
      </c>
      <c r="G60" s="18" t="n">
        <v>39.38876363</v>
      </c>
      <c r="H60" s="20" t="n">
        <v>3.08040667</v>
      </c>
      <c r="I60" s="18" t="s">
        <v>349</v>
      </c>
      <c r="J60" s="20" t="s">
        <v>349</v>
      </c>
      <c r="K60" s="18" t="n">
        <v>13.35899712</v>
      </c>
      <c r="L60" s="20" t="n">
        <v>1.94396902</v>
      </c>
      <c r="M60" s="18" t="n">
        <v>0</v>
      </c>
      <c r="N60" s="20" t="n">
        <v>0</v>
      </c>
      <c r="O60" s="18" t="n">
        <v>0</v>
      </c>
      <c r="P60" s="20" t="n">
        <v>0</v>
      </c>
      <c r="Q60" s="18" t="n">
        <v>0</v>
      </c>
      <c r="R60" s="20" t="n">
        <v>0</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(2103.0/B63*100)</f>
        <v/>
      </c>
      <c r="D63" s="19" t="n">
        <v>408</v>
      </c>
      <c r="E63" s="18" t="n">
        <v>59.23938207</v>
      </c>
      <c r="F63" s="20" t="n">
        <v>2.7570461</v>
      </c>
      <c r="G63" s="18" t="n">
        <v>32.61692028</v>
      </c>
      <c r="H63" s="20" t="n">
        <v>2.84003896</v>
      </c>
      <c r="I63" s="18" t="s">
        <v>349</v>
      </c>
      <c r="J63" s="20" t="s">
        <v>349</v>
      </c>
      <c r="K63" s="18" t="n">
        <v>8.14369765</v>
      </c>
      <c r="L63" s="20" t="n">
        <v>1.44109292</v>
      </c>
      <c r="M63" s="18" t="n">
        <v>0</v>
      </c>
      <c r="N63" s="20" t="n">
        <v>0</v>
      </c>
      <c r="O63" s="18" t="n">
        <v>0</v>
      </c>
      <c r="P63" s="20" t="n">
        <v>0</v>
      </c>
      <c r="Q63" s="18" t="n">
        <v>0</v>
      </c>
      <c r="R63" s="20" t="n">
        <v>0</v>
      </c>
    </row>
    <row r="64" spans="1:18">
      <c r="A64" s="15" t="s">
        <v>406</v>
      </c>
      <c r="B64" s="17" t="n">
        <v>1790</v>
      </c>
      <c r="C64" s="18">
        <f>(1490.0/B64*100)</f>
        <v/>
      </c>
      <c r="D64" s="19" t="n">
        <v>300</v>
      </c>
      <c r="E64" s="18" t="n">
        <v>63.367597</v>
      </c>
      <c r="F64" s="20" t="n">
        <v>2.99334154</v>
      </c>
      <c r="G64" s="18" t="n">
        <v>32.85001421</v>
      </c>
      <c r="H64" s="20" t="n">
        <v>2.64502088</v>
      </c>
      <c r="I64" s="18" t="s">
        <v>349</v>
      </c>
      <c r="J64" s="20" t="s">
        <v>349</v>
      </c>
      <c r="K64" s="18" t="n">
        <v>3.78238878</v>
      </c>
      <c r="L64" s="20" t="n">
        <v>1.29664399</v>
      </c>
      <c r="M64" s="18" t="n">
        <v>0</v>
      </c>
      <c r="N64" s="20" t="n">
        <v>0</v>
      </c>
      <c r="O64" s="18" t="n">
        <v>0</v>
      </c>
      <c r="P64" s="20" t="n">
        <v>0</v>
      </c>
      <c r="Q64" s="18" t="n">
        <v>0</v>
      </c>
      <c r="R64" s="20" t="n">
        <v>0</v>
      </c>
    </row>
    <row r="65" spans="1:18">
      <c r="A65" s="15" t="s">
        <v>407</v>
      </c>
      <c r="B65" s="17" t="n">
        <v>2634</v>
      </c>
      <c r="C65" s="18">
        <f>(2206.0/B65*100)</f>
        <v/>
      </c>
      <c r="D65" s="19" t="n">
        <v>428</v>
      </c>
      <c r="E65" s="18" t="n">
        <v>62.82214074</v>
      </c>
      <c r="F65" s="20" t="n">
        <v>2.47249459</v>
      </c>
      <c r="G65" s="18" t="n">
        <v>27.53418597</v>
      </c>
      <c r="H65" s="20" t="n">
        <v>2.23126771</v>
      </c>
      <c r="I65" s="18" t="s">
        <v>349</v>
      </c>
      <c r="J65" s="20" t="s">
        <v>349</v>
      </c>
      <c r="K65" s="18" t="n">
        <v>9.643673290000001</v>
      </c>
      <c r="L65" s="20" t="n">
        <v>1.35197344</v>
      </c>
      <c r="M65" s="18" t="n">
        <v>0</v>
      </c>
      <c r="N65" s="20" t="n">
        <v>0</v>
      </c>
      <c r="O65" s="18" t="n">
        <v>0</v>
      </c>
      <c r="P65" s="20" t="n">
        <v>0</v>
      </c>
      <c r="Q65" s="18" t="n">
        <v>0</v>
      </c>
      <c r="R65" s="20" t="n">
        <v>0</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(2057.0/B69*100)</f>
        <v/>
      </c>
      <c r="D69" s="19" t="n">
        <v>409</v>
      </c>
      <c r="E69" s="18" t="n">
        <v>68.45054535</v>
      </c>
      <c r="F69" s="20" t="n">
        <v>2.35445639</v>
      </c>
      <c r="G69" s="18" t="n">
        <v>31.54945465</v>
      </c>
      <c r="H69" s="20" t="n">
        <v>2.35445639</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(2033.0/B74*100)</f>
        <v/>
      </c>
      <c r="D74" s="19" t="n">
        <v>420</v>
      </c>
      <c r="E74" s="18" t="n">
        <v>58.4343945</v>
      </c>
      <c r="F74" s="20" t="n">
        <v>2.75178748</v>
      </c>
      <c r="G74" s="18" t="n">
        <v>30.79736579</v>
      </c>
      <c r="H74" s="20" t="n">
        <v>2.60706611</v>
      </c>
      <c r="I74" s="18" t="s">
        <v>349</v>
      </c>
      <c r="J74" s="20" t="s">
        <v>349</v>
      </c>
      <c r="K74" s="18" t="n">
        <v>10.76823971</v>
      </c>
      <c r="L74" s="20" t="n">
        <v>1.68518713</v>
      </c>
      <c r="M74" s="18" t="n">
        <v>0</v>
      </c>
      <c r="N74" s="20" t="n">
        <v>0</v>
      </c>
      <c r="O74" s="18" t="n">
        <v>0</v>
      </c>
      <c r="P74" s="20" t="n">
        <v>0</v>
      </c>
      <c r="Q74" s="18" t="n">
        <v>0</v>
      </c>
      <c r="R74" s="20" t="n">
        <v>0</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(2528.0/B78*100)</f>
        <v/>
      </c>
      <c r="D78" s="19" t="n">
        <v>512</v>
      </c>
      <c r="E78" s="18" t="n">
        <v>30.29223172</v>
      </c>
      <c r="F78" s="20" t="n">
        <v>2.17625023</v>
      </c>
      <c r="G78" s="18" t="n">
        <v>69.48560986</v>
      </c>
      <c r="H78" s="20" t="n">
        <v>2.15994926</v>
      </c>
      <c r="I78" s="18" t="s">
        <v>349</v>
      </c>
      <c r="J78" s="20" t="s">
        <v>349</v>
      </c>
      <c r="K78" s="18" t="n">
        <v>0.22215842</v>
      </c>
      <c r="L78" s="20" t="n">
        <v>0.22691279</v>
      </c>
      <c r="M78" s="18" t="n">
        <v>0</v>
      </c>
      <c r="N78" s="20" t="n">
        <v>0</v>
      </c>
      <c r="O78" s="18" t="n">
        <v>0</v>
      </c>
      <c r="P78" s="20" t="n">
        <v>0</v>
      </c>
      <c r="Q78" s="18" t="n">
        <v>0</v>
      </c>
      <c r="R78" s="20" t="n">
        <v>0</v>
      </c>
    </row>
    <row customHeight="1" ht="25" r="79" spans="1:18">
      <c r="A79" s="15" t="s">
        <v>421</v>
      </c>
      <c r="B79" s="17" t="n">
        <v>870</v>
      </c>
      <c r="C79" s="18">
        <f>(725.0/B79*100)</f>
        <v/>
      </c>
      <c r="D79" s="19" t="n">
        <v>145</v>
      </c>
      <c r="E79" s="18" t="n">
        <v>58.9677391</v>
      </c>
      <c r="F79" s="20" t="n">
        <v>4.82768647</v>
      </c>
      <c r="G79" s="18" t="n">
        <v>32.05962579</v>
      </c>
      <c r="H79" s="20" t="n">
        <v>4.74785145</v>
      </c>
      <c r="I79" s="18" t="s">
        <v>349</v>
      </c>
      <c r="J79" s="20" t="s">
        <v>349</v>
      </c>
      <c r="K79" s="18" t="n">
        <v>7.98025142</v>
      </c>
      <c r="L79" s="20" t="n">
        <v>2.32737264</v>
      </c>
      <c r="M79" s="18" t="n">
        <v>0</v>
      </c>
      <c r="N79" s="20" t="n">
        <v>0</v>
      </c>
      <c r="O79" s="18" t="n">
        <v>0.99238369</v>
      </c>
      <c r="P79" s="20" t="n">
        <v>0.72256846</v>
      </c>
      <c r="Q79" s="18" t="n">
        <v>0</v>
      </c>
      <c r="R79" s="20" t="n">
        <v>0</v>
      </c>
    </row>
    <row r="80" spans="1:18">
      <c r="A80" s="15" t="s">
        <v>422</v>
      </c>
      <c r="B80" s="17" t="n">
        <v>4043</v>
      </c>
      <c r="C80" s="18">
        <f>(3360.0/B80*100)</f>
        <v/>
      </c>
      <c r="D80" s="19" t="n">
        <v>683</v>
      </c>
      <c r="E80" s="18" t="n">
        <v>66.88769605</v>
      </c>
      <c r="F80" s="20" t="n">
        <v>2.4954755</v>
      </c>
      <c r="G80" s="18" t="n">
        <v>33.11230395</v>
      </c>
      <c r="H80" s="20" t="n">
        <v>2.4954755</v>
      </c>
      <c r="I80" s="18" t="s">
        <v>349</v>
      </c>
      <c r="J80" s="20" t="s">
        <v>349</v>
      </c>
      <c r="K80" s="18" t="n">
        <v>0</v>
      </c>
      <c r="L80" s="20" t="n">
        <v>0</v>
      </c>
      <c r="M80" s="18" t="n">
        <v>0</v>
      </c>
      <c r="N80" s="20" t="n">
        <v>0</v>
      </c>
      <c r="O80" s="18" t="n">
        <v>0</v>
      </c>
      <c r="P80" s="20" t="n">
        <v>0</v>
      </c>
      <c r="Q80" s="18" t="n">
        <v>0</v>
      </c>
      <c r="R80" s="20" t="n">
        <v>0</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(2244.0/B44*100)</f>
        <v/>
      </c>
      <c r="D44" s="19" t="n">
        <v>447</v>
      </c>
      <c r="E44" s="18" t="n">
        <v>41.31999725</v>
      </c>
      <c r="F44" s="20" t="n">
        <v>2.87162331</v>
      </c>
      <c r="G44" s="18" t="n">
        <v>45.28192122</v>
      </c>
      <c r="H44" s="20" t="n">
        <v>2.67817004</v>
      </c>
      <c r="I44" s="18" t="s">
        <v>349</v>
      </c>
      <c r="J44" s="20" t="s">
        <v>349</v>
      </c>
      <c r="K44" s="18" t="n">
        <v>1.51532944</v>
      </c>
      <c r="L44" s="20" t="n">
        <v>0.5932522099999999</v>
      </c>
      <c r="M44" s="18" t="n">
        <v>0</v>
      </c>
      <c r="N44" s="20" t="n">
        <v>0</v>
      </c>
      <c r="O44" s="18" t="n">
        <v>0</v>
      </c>
      <c r="P44" s="20" t="n">
        <v>0</v>
      </c>
      <c r="Q44" s="18" t="n">
        <v>11.88275209</v>
      </c>
      <c r="R44" s="20" t="n">
        <v>2.0832684</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(2132.0/B55*100)</f>
        <v/>
      </c>
      <c r="D55" s="19" t="n">
        <v>425</v>
      </c>
      <c r="E55" s="18" t="n">
        <v>37.63812906</v>
      </c>
      <c r="F55" s="20" t="n">
        <v>3.07543937</v>
      </c>
      <c r="G55" s="18" t="n">
        <v>57.04499134</v>
      </c>
      <c r="H55" s="20" t="n">
        <v>2.95852321</v>
      </c>
      <c r="I55" s="18" t="s">
        <v>349</v>
      </c>
      <c r="J55" s="20" t="s">
        <v>349</v>
      </c>
      <c r="K55" s="18" t="n">
        <v>0.75825268</v>
      </c>
      <c r="L55" s="20" t="n">
        <v>0.53061145</v>
      </c>
      <c r="M55" s="18" t="n">
        <v>0</v>
      </c>
      <c r="N55" s="20" t="n">
        <v>0</v>
      </c>
      <c r="O55" s="18" t="n">
        <v>0</v>
      </c>
      <c r="P55" s="20" t="n">
        <v>0</v>
      </c>
      <c r="Q55" s="18" t="n">
        <v>4.55862692</v>
      </c>
      <c r="R55" s="20" t="n">
        <v>1.17354476</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(2784.0/B57*100)</f>
        <v/>
      </c>
      <c r="D57" s="19" t="n">
        <v>559</v>
      </c>
      <c r="E57" s="18" t="n">
        <v>46.14085533</v>
      </c>
      <c r="F57" s="20" t="n">
        <v>2.33843385</v>
      </c>
      <c r="G57" s="18" t="n">
        <v>49.06718015</v>
      </c>
      <c r="H57" s="20" t="n">
        <v>2.35248406</v>
      </c>
      <c r="I57" s="18" t="s">
        <v>349</v>
      </c>
      <c r="J57" s="20" t="s">
        <v>349</v>
      </c>
      <c r="K57" s="18" t="n">
        <v>0.6243953</v>
      </c>
      <c r="L57" s="20" t="n">
        <v>0.48665732</v>
      </c>
      <c r="M57" s="18" t="n">
        <v>0</v>
      </c>
      <c r="N57" s="20" t="n">
        <v>0</v>
      </c>
      <c r="O57" s="18" t="n">
        <v>0</v>
      </c>
      <c r="P57" s="20" t="n">
        <v>0</v>
      </c>
      <c r="Q57" s="18" t="n">
        <v>4.16756923</v>
      </c>
      <c r="R57" s="20" t="n">
        <v>1.0840989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(1491.0/B64*100)</f>
        <v/>
      </c>
      <c r="D64" s="19" t="n">
        <v>299</v>
      </c>
      <c r="E64" s="18" t="n">
        <v>24.77169779</v>
      </c>
      <c r="F64" s="20" t="n">
        <v>2.63891067</v>
      </c>
      <c r="G64" s="18" t="n">
        <v>70.03455169</v>
      </c>
      <c r="H64" s="20" t="n">
        <v>2.51488926</v>
      </c>
      <c r="I64" s="18" t="s">
        <v>349</v>
      </c>
      <c r="J64" s="20" t="s">
        <v>349</v>
      </c>
      <c r="K64" s="18" t="n">
        <v>0.9041420999999999</v>
      </c>
      <c r="L64" s="20" t="n">
        <v>0.63248126</v>
      </c>
      <c r="M64" s="18" t="n">
        <v>0</v>
      </c>
      <c r="N64" s="20" t="n">
        <v>0</v>
      </c>
      <c r="O64" s="18" t="n">
        <v>0</v>
      </c>
      <c r="P64" s="20" t="n">
        <v>0</v>
      </c>
      <c r="Q64" s="18" t="n">
        <v>4.28960842</v>
      </c>
      <c r="R64" s="20" t="n">
        <v>1.293817</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(2244.0/B44*100)</f>
        <v/>
      </c>
      <c r="D44" s="19" t="n">
        <v>447</v>
      </c>
      <c r="E44" s="18" t="n">
        <v>46.84371013</v>
      </c>
      <c r="F44" s="20" t="n">
        <v>2.73289654</v>
      </c>
      <c r="G44" s="18" t="n">
        <v>24.06863736</v>
      </c>
      <c r="H44" s="20" t="n">
        <v>1.99496326</v>
      </c>
      <c r="I44" s="18" t="s">
        <v>349</v>
      </c>
      <c r="J44" s="20" t="s">
        <v>349</v>
      </c>
      <c r="K44" s="18" t="n">
        <v>1.87850918</v>
      </c>
      <c r="L44" s="20" t="n">
        <v>0.6572940900000001</v>
      </c>
      <c r="M44" s="18" t="n">
        <v>0</v>
      </c>
      <c r="N44" s="20" t="n">
        <v>0</v>
      </c>
      <c r="O44" s="18" t="n">
        <v>0</v>
      </c>
      <c r="P44" s="20" t="n">
        <v>0</v>
      </c>
      <c r="Q44" s="18" t="n">
        <v>27.20914333</v>
      </c>
      <c r="R44" s="20" t="n">
        <v>2.76419544</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(2132.0/B55*100)</f>
        <v/>
      </c>
      <c r="D55" s="19" t="n">
        <v>425</v>
      </c>
      <c r="E55" s="18" t="n">
        <v>57.62612389</v>
      </c>
      <c r="F55" s="20" t="n">
        <v>2.80096611</v>
      </c>
      <c r="G55" s="18" t="n">
        <v>20.17024409</v>
      </c>
      <c r="H55" s="20" t="n">
        <v>1.81910909</v>
      </c>
      <c r="I55" s="18" t="s">
        <v>349</v>
      </c>
      <c r="J55" s="20" t="s">
        <v>349</v>
      </c>
      <c r="K55" s="18" t="n">
        <v>0.89418318</v>
      </c>
      <c r="L55" s="20" t="n">
        <v>0.54265137</v>
      </c>
      <c r="M55" s="18" t="n">
        <v>0</v>
      </c>
      <c r="N55" s="20" t="n">
        <v>0</v>
      </c>
      <c r="O55" s="18" t="n">
        <v>0</v>
      </c>
      <c r="P55" s="20" t="n">
        <v>0</v>
      </c>
      <c r="Q55" s="18" t="n">
        <v>21.30944883</v>
      </c>
      <c r="R55" s="20" t="n">
        <v>2.18708973</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(2784.0/B57*100)</f>
        <v/>
      </c>
      <c r="D57" s="19" t="n">
        <v>559</v>
      </c>
      <c r="E57" s="18" t="n">
        <v>66.81244658999999</v>
      </c>
      <c r="F57" s="20" t="n">
        <v>2.37937438</v>
      </c>
      <c r="G57" s="18" t="n">
        <v>24.28373845</v>
      </c>
      <c r="H57" s="20" t="n">
        <v>2.31017334</v>
      </c>
      <c r="I57" s="18" t="s">
        <v>349</v>
      </c>
      <c r="J57" s="20" t="s">
        <v>349</v>
      </c>
      <c r="K57" s="18" t="n">
        <v>0.92869327</v>
      </c>
      <c r="L57" s="20" t="n">
        <v>0.52488857</v>
      </c>
      <c r="M57" s="18" t="n">
        <v>0</v>
      </c>
      <c r="N57" s="20" t="n">
        <v>0</v>
      </c>
      <c r="O57" s="18" t="n">
        <v>0</v>
      </c>
      <c r="P57" s="20" t="n">
        <v>0</v>
      </c>
      <c r="Q57" s="18" t="n">
        <v>7.97512169</v>
      </c>
      <c r="R57" s="20" t="n">
        <v>1.29276743</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(1491.0/B64*100)</f>
        <v/>
      </c>
      <c r="D64" s="19" t="n">
        <v>299</v>
      </c>
      <c r="E64" s="18" t="n">
        <v>27.24556904</v>
      </c>
      <c r="F64" s="20" t="n">
        <v>2.37242014</v>
      </c>
      <c r="G64" s="18" t="n">
        <v>58.86476781</v>
      </c>
      <c r="H64" s="20" t="n">
        <v>2.7325368</v>
      </c>
      <c r="I64" s="18" t="s">
        <v>349</v>
      </c>
      <c r="J64" s="20" t="s">
        <v>349</v>
      </c>
      <c r="K64" s="18" t="n">
        <v>0.9041420999999999</v>
      </c>
      <c r="L64" s="20" t="n">
        <v>0.63248126</v>
      </c>
      <c r="M64" s="18" t="n">
        <v>0</v>
      </c>
      <c r="N64" s="20" t="n">
        <v>0</v>
      </c>
      <c r="O64" s="18" t="n">
        <v>0</v>
      </c>
      <c r="P64" s="20" t="n">
        <v>0</v>
      </c>
      <c r="Q64" s="18" t="n">
        <v>12.98552104</v>
      </c>
      <c r="R64" s="20" t="n">
        <v>1.70565755</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(2244.0/B44*100)</f>
        <v/>
      </c>
      <c r="D44" s="19" t="n">
        <v>447</v>
      </c>
      <c r="E44" s="18" t="n">
        <v>30.65687324</v>
      </c>
      <c r="F44" s="20" t="n">
        <v>2.63419073</v>
      </c>
      <c r="G44" s="18" t="n">
        <v>61.11130081</v>
      </c>
      <c r="H44" s="20" t="n">
        <v>2.78626709</v>
      </c>
      <c r="I44" s="18" t="s">
        <v>349</v>
      </c>
      <c r="J44" s="20" t="s">
        <v>349</v>
      </c>
      <c r="K44" s="18" t="n">
        <v>2.01906164</v>
      </c>
      <c r="L44" s="20" t="n">
        <v>0.65946081</v>
      </c>
      <c r="M44" s="18" t="n">
        <v>0</v>
      </c>
      <c r="N44" s="20" t="n">
        <v>0</v>
      </c>
      <c r="O44" s="18" t="n">
        <v>0</v>
      </c>
      <c r="P44" s="20" t="n">
        <v>0</v>
      </c>
      <c r="Q44" s="18" t="n">
        <v>6.2127643</v>
      </c>
      <c r="R44" s="20" t="n">
        <v>1.3926872</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(2132.0/B55*100)</f>
        <v/>
      </c>
      <c r="D55" s="19" t="n">
        <v>425</v>
      </c>
      <c r="E55" s="18" t="n">
        <v>35.05349682</v>
      </c>
      <c r="F55" s="20" t="n">
        <v>2.36221742</v>
      </c>
      <c r="G55" s="18" t="n">
        <v>56.11534802</v>
      </c>
      <c r="H55" s="20" t="n">
        <v>2.55128108</v>
      </c>
      <c r="I55" s="18" t="s">
        <v>349</v>
      </c>
      <c r="J55" s="20" t="s">
        <v>349</v>
      </c>
      <c r="K55" s="18" t="n">
        <v>1.36473942</v>
      </c>
      <c r="L55" s="20" t="n">
        <v>0.62546758</v>
      </c>
      <c r="M55" s="18" t="n">
        <v>0</v>
      </c>
      <c r="N55" s="20" t="n">
        <v>0</v>
      </c>
      <c r="O55" s="18" t="n">
        <v>0</v>
      </c>
      <c r="P55" s="20" t="n">
        <v>0</v>
      </c>
      <c r="Q55" s="18" t="n">
        <v>7.46641574</v>
      </c>
      <c r="R55" s="20" t="n">
        <v>1.40473324</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(2784.0/B57*100)</f>
        <v/>
      </c>
      <c r="D57" s="19" t="n">
        <v>559</v>
      </c>
      <c r="E57" s="18" t="n">
        <v>58.7404085</v>
      </c>
      <c r="F57" s="20" t="n">
        <v>2.51580091</v>
      </c>
      <c r="G57" s="18" t="n">
        <v>34.93867889</v>
      </c>
      <c r="H57" s="20" t="n">
        <v>2.44182305</v>
      </c>
      <c r="I57" s="18" t="s">
        <v>349</v>
      </c>
      <c r="J57" s="20" t="s">
        <v>349</v>
      </c>
      <c r="K57" s="18" t="n">
        <v>1.48074294</v>
      </c>
      <c r="L57" s="20" t="n">
        <v>0.64876715</v>
      </c>
      <c r="M57" s="18" t="n">
        <v>0</v>
      </c>
      <c r="N57" s="20" t="n">
        <v>0</v>
      </c>
      <c r="O57" s="18" t="n">
        <v>0</v>
      </c>
      <c r="P57" s="20" t="n">
        <v>0</v>
      </c>
      <c r="Q57" s="18" t="n">
        <v>4.84016967</v>
      </c>
      <c r="R57" s="20" t="n">
        <v>1.07762729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(1491.0/B64*100)</f>
        <v/>
      </c>
      <c r="D64" s="19" t="n">
        <v>299</v>
      </c>
      <c r="E64" s="18" t="n">
        <v>18.63096055</v>
      </c>
      <c r="F64" s="20" t="n">
        <v>2.12058759</v>
      </c>
      <c r="G64" s="18" t="n">
        <v>77.16781463</v>
      </c>
      <c r="H64" s="20" t="n">
        <v>2.30658779</v>
      </c>
      <c r="I64" s="18" t="s">
        <v>349</v>
      </c>
      <c r="J64" s="20" t="s">
        <v>349</v>
      </c>
      <c r="K64" s="18" t="n">
        <v>0.9041420999999999</v>
      </c>
      <c r="L64" s="20" t="n">
        <v>0.63248126</v>
      </c>
      <c r="M64" s="18" t="n">
        <v>0</v>
      </c>
      <c r="N64" s="20" t="n">
        <v>0</v>
      </c>
      <c r="O64" s="18" t="n">
        <v>0</v>
      </c>
      <c r="P64" s="20" t="n">
        <v>0</v>
      </c>
      <c r="Q64" s="18" t="n">
        <v>3.29708272</v>
      </c>
      <c r="R64" s="20" t="n">
        <v>1.12827334</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(2244.0/B44*100)</f>
        <v/>
      </c>
      <c r="D44" s="19" t="n">
        <v>447</v>
      </c>
      <c r="E44" s="18" t="n">
        <v>59.79549099</v>
      </c>
      <c r="F44" s="20" t="n">
        <v>3.3378995</v>
      </c>
      <c r="G44" s="18" t="n">
        <v>19.77785286</v>
      </c>
      <c r="H44" s="20" t="n">
        <v>2.96954495</v>
      </c>
      <c r="I44" s="18" t="s">
        <v>349</v>
      </c>
      <c r="J44" s="20" t="s">
        <v>349</v>
      </c>
      <c r="K44" s="18" t="n">
        <v>2.97750559</v>
      </c>
      <c r="L44" s="20" t="n">
        <v>0.7983108799999999</v>
      </c>
      <c r="M44" s="18" t="n">
        <v>0</v>
      </c>
      <c r="N44" s="20" t="n">
        <v>0</v>
      </c>
      <c r="O44" s="18" t="n">
        <v>0</v>
      </c>
      <c r="P44" s="20" t="n">
        <v>0</v>
      </c>
      <c r="Q44" s="18" t="n">
        <v>17.44915056</v>
      </c>
      <c r="R44" s="20" t="n">
        <v>2.28746261</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(2132.0/B55*100)</f>
        <v/>
      </c>
      <c r="D55" s="19" t="n">
        <v>425</v>
      </c>
      <c r="E55" s="18" t="n">
        <v>69.77800857</v>
      </c>
      <c r="F55" s="20" t="n">
        <v>2.62702832</v>
      </c>
      <c r="G55" s="18" t="n">
        <v>19.26300222</v>
      </c>
      <c r="H55" s="20" t="n">
        <v>2.08853726</v>
      </c>
      <c r="I55" s="18" t="s">
        <v>349</v>
      </c>
      <c r="J55" s="20" t="s">
        <v>349</v>
      </c>
      <c r="K55" s="18" t="n">
        <v>1.36473942</v>
      </c>
      <c r="L55" s="20" t="n">
        <v>0.62546758</v>
      </c>
      <c r="M55" s="18" t="n">
        <v>0</v>
      </c>
      <c r="N55" s="20" t="n">
        <v>0</v>
      </c>
      <c r="O55" s="18" t="n">
        <v>0</v>
      </c>
      <c r="P55" s="20" t="n">
        <v>0</v>
      </c>
      <c r="Q55" s="18" t="n">
        <v>9.59424978</v>
      </c>
      <c r="R55" s="20" t="n">
        <v>1.50607682</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(2784.0/B57*100)</f>
        <v/>
      </c>
      <c r="D57" s="19" t="n">
        <v>559</v>
      </c>
      <c r="E57" s="18" t="n">
        <v>76.10311195</v>
      </c>
      <c r="F57" s="20" t="n">
        <v>2.20213584</v>
      </c>
      <c r="G57" s="18" t="n">
        <v>19.39316368</v>
      </c>
      <c r="H57" s="20" t="n">
        <v>1.83090594</v>
      </c>
      <c r="I57" s="18" t="s">
        <v>349</v>
      </c>
      <c r="J57" s="20" t="s">
        <v>349</v>
      </c>
      <c r="K57" s="18" t="n">
        <v>1.48074294</v>
      </c>
      <c r="L57" s="20" t="n">
        <v>0.64876715</v>
      </c>
      <c r="M57" s="18" t="n">
        <v>0</v>
      </c>
      <c r="N57" s="20" t="n">
        <v>0</v>
      </c>
      <c r="O57" s="18" t="n">
        <v>0</v>
      </c>
      <c r="P57" s="20" t="n">
        <v>0</v>
      </c>
      <c r="Q57" s="18" t="n">
        <v>3.02298143</v>
      </c>
      <c r="R57" s="20" t="n">
        <v>0.85267677</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(1491.0/B64*100)</f>
        <v/>
      </c>
      <c r="D64" s="19" t="n">
        <v>299</v>
      </c>
      <c r="E64" s="18" t="n">
        <v>51.09840412</v>
      </c>
      <c r="F64" s="20" t="n">
        <v>2.59494404</v>
      </c>
      <c r="G64" s="18" t="n">
        <v>43.73734933</v>
      </c>
      <c r="H64" s="20" t="n">
        <v>2.68158343</v>
      </c>
      <c r="I64" s="18" t="s">
        <v>349</v>
      </c>
      <c r="J64" s="20" t="s">
        <v>349</v>
      </c>
      <c r="K64" s="18" t="n">
        <v>0.9041420999999999</v>
      </c>
      <c r="L64" s="20" t="n">
        <v>0.63248126</v>
      </c>
      <c r="M64" s="18" t="n">
        <v>0.31427087</v>
      </c>
      <c r="N64" s="20" t="n">
        <v>0.31509278</v>
      </c>
      <c r="O64" s="18" t="n">
        <v>0</v>
      </c>
      <c r="P64" s="20" t="n">
        <v>0</v>
      </c>
      <c r="Q64" s="18" t="n">
        <v>3.94583359</v>
      </c>
      <c r="R64" s="20" t="n">
        <v>1.20713303</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(2244.0/B44*100)</f>
        <v/>
      </c>
      <c r="D44" s="19" t="n">
        <v>447</v>
      </c>
      <c r="E44" s="18" t="n">
        <v>32.30831013</v>
      </c>
      <c r="F44" s="20" t="n">
        <v>2.65558657</v>
      </c>
      <c r="G44" s="18" t="n">
        <v>56.36802329</v>
      </c>
      <c r="H44" s="20" t="n">
        <v>2.90114078</v>
      </c>
      <c r="I44" s="18" t="s">
        <v>349</v>
      </c>
      <c r="J44" s="20" t="s">
        <v>349</v>
      </c>
      <c r="K44" s="18" t="n">
        <v>3.85830631</v>
      </c>
      <c r="L44" s="20" t="n">
        <v>0.84567951</v>
      </c>
      <c r="M44" s="18" t="n">
        <v>0</v>
      </c>
      <c r="N44" s="20" t="n">
        <v>0</v>
      </c>
      <c r="O44" s="18" t="n">
        <v>0</v>
      </c>
      <c r="P44" s="20" t="n">
        <v>0</v>
      </c>
      <c r="Q44" s="18" t="n">
        <v>7.46536027</v>
      </c>
      <c r="R44" s="20" t="n">
        <v>1.58493455</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(2132.0/B55*100)</f>
        <v/>
      </c>
      <c r="D55" s="19" t="n">
        <v>425</v>
      </c>
      <c r="E55" s="18" t="n">
        <v>44.39753572</v>
      </c>
      <c r="F55" s="20" t="n">
        <v>2.54311122</v>
      </c>
      <c r="G55" s="18" t="n">
        <v>41.989092</v>
      </c>
      <c r="H55" s="20" t="n">
        <v>2.29522246</v>
      </c>
      <c r="I55" s="18" t="s">
        <v>349</v>
      </c>
      <c r="J55" s="20" t="s">
        <v>349</v>
      </c>
      <c r="K55" s="18" t="n">
        <v>1.61100609</v>
      </c>
      <c r="L55" s="20" t="n">
        <v>0.66866567</v>
      </c>
      <c r="M55" s="18" t="n">
        <v>0</v>
      </c>
      <c r="N55" s="20" t="n">
        <v>0</v>
      </c>
      <c r="O55" s="18" t="n">
        <v>0.20290197</v>
      </c>
      <c r="P55" s="20" t="n">
        <v>0.20326617</v>
      </c>
      <c r="Q55" s="18" t="n">
        <v>11.79946422</v>
      </c>
      <c r="R55" s="20" t="n">
        <v>1.5762958</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(2784.0/B57*100)</f>
        <v/>
      </c>
      <c r="D57" s="19" t="n">
        <v>559</v>
      </c>
      <c r="E57" s="18" t="n">
        <v>57.10813497</v>
      </c>
      <c r="F57" s="20" t="n">
        <v>2.30768421</v>
      </c>
      <c r="G57" s="18" t="n">
        <v>37.37335307</v>
      </c>
      <c r="H57" s="20" t="n">
        <v>2.44893361</v>
      </c>
      <c r="I57" s="18" t="s">
        <v>349</v>
      </c>
      <c r="J57" s="20" t="s">
        <v>349</v>
      </c>
      <c r="K57" s="18" t="n">
        <v>1.89287065</v>
      </c>
      <c r="L57" s="20" t="n">
        <v>0.84382202</v>
      </c>
      <c r="M57" s="18" t="n">
        <v>0.18518312</v>
      </c>
      <c r="N57" s="20" t="n">
        <v>0.1846834</v>
      </c>
      <c r="O57" s="18" t="n">
        <v>0</v>
      </c>
      <c r="P57" s="20" t="n">
        <v>0</v>
      </c>
      <c r="Q57" s="18" t="n">
        <v>3.4404582</v>
      </c>
      <c r="R57" s="20" t="n">
        <v>0.869352</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(1491.0/B64*100)</f>
        <v/>
      </c>
      <c r="D64" s="19" t="n">
        <v>299</v>
      </c>
      <c r="E64" s="18" t="n">
        <v>24.7786404</v>
      </c>
      <c r="F64" s="20" t="n">
        <v>2.81115007</v>
      </c>
      <c r="G64" s="18" t="n">
        <v>68.45271929</v>
      </c>
      <c r="H64" s="20" t="n">
        <v>2.71378048</v>
      </c>
      <c r="I64" s="18" t="s">
        <v>349</v>
      </c>
      <c r="J64" s="20" t="s">
        <v>349</v>
      </c>
      <c r="K64" s="18" t="n">
        <v>1.90222759</v>
      </c>
      <c r="L64" s="20" t="n">
        <v>0.6999782</v>
      </c>
      <c r="M64" s="18" t="n">
        <v>0</v>
      </c>
      <c r="N64" s="20" t="n">
        <v>0</v>
      </c>
      <c r="O64" s="18" t="n">
        <v>0</v>
      </c>
      <c r="P64" s="20" t="n">
        <v>0</v>
      </c>
      <c r="Q64" s="18" t="n">
        <v>4.86641271</v>
      </c>
      <c r="R64" s="20" t="n">
        <v>1.54386082</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(2244.0/B44*100)</f>
        <v/>
      </c>
      <c r="D44" s="19" t="n">
        <v>447</v>
      </c>
      <c r="E44" s="18" t="n">
        <v>68.22232231</v>
      </c>
      <c r="F44" s="20" t="n">
        <v>2.55806589</v>
      </c>
      <c r="G44" s="18" t="n">
        <v>7.61443303</v>
      </c>
      <c r="H44" s="20" t="n">
        <v>1.19470157</v>
      </c>
      <c r="I44" s="18" t="s">
        <v>349</v>
      </c>
      <c r="J44" s="20" t="s">
        <v>349</v>
      </c>
      <c r="K44" s="18" t="n">
        <v>5.95056032</v>
      </c>
      <c r="L44" s="20" t="n">
        <v>1.20840658</v>
      </c>
      <c r="M44" s="18" t="n">
        <v>0</v>
      </c>
      <c r="N44" s="20" t="n">
        <v>0</v>
      </c>
      <c r="O44" s="18" t="n">
        <v>0</v>
      </c>
      <c r="P44" s="20" t="n">
        <v>0</v>
      </c>
      <c r="Q44" s="18" t="n">
        <v>18.21268434</v>
      </c>
      <c r="R44" s="20" t="n">
        <v>2.03310254</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(2132.0/B55*100)</f>
        <v/>
      </c>
      <c r="D55" s="19" t="n">
        <v>425</v>
      </c>
      <c r="E55" s="18" t="n">
        <v>39.12402839</v>
      </c>
      <c r="F55" s="20" t="n">
        <v>2.5818564</v>
      </c>
      <c r="G55" s="18" t="n">
        <v>19.40950744</v>
      </c>
      <c r="H55" s="20" t="n">
        <v>2.19079492</v>
      </c>
      <c r="I55" s="18" t="s">
        <v>349</v>
      </c>
      <c r="J55" s="20" t="s">
        <v>349</v>
      </c>
      <c r="K55" s="18" t="n">
        <v>1.82986027</v>
      </c>
      <c r="L55" s="20" t="n">
        <v>0.70174527</v>
      </c>
      <c r="M55" s="18" t="n">
        <v>0</v>
      </c>
      <c r="N55" s="20" t="n">
        <v>0</v>
      </c>
      <c r="O55" s="18" t="n">
        <v>0</v>
      </c>
      <c r="P55" s="20" t="n">
        <v>0</v>
      </c>
      <c r="Q55" s="18" t="n">
        <v>39.63660389</v>
      </c>
      <c r="R55" s="20" t="n">
        <v>2.24700236</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(2784.0/B57*100)</f>
        <v/>
      </c>
      <c r="D57" s="19" t="n">
        <v>559</v>
      </c>
      <c r="E57" s="18" t="n">
        <v>84.49853417999999</v>
      </c>
      <c r="F57" s="20" t="n">
        <v>1.54243593</v>
      </c>
      <c r="G57" s="18" t="n">
        <v>5.63707338</v>
      </c>
      <c r="H57" s="20" t="n">
        <v>0.85391692</v>
      </c>
      <c r="I57" s="18" t="s">
        <v>349</v>
      </c>
      <c r="J57" s="20" t="s">
        <v>349</v>
      </c>
      <c r="K57" s="18" t="n">
        <v>2.23854574</v>
      </c>
      <c r="L57" s="20" t="n">
        <v>0.8768036299999999</v>
      </c>
      <c r="M57" s="18" t="n">
        <v>0.18518312</v>
      </c>
      <c r="N57" s="20" t="n">
        <v>0.1846834</v>
      </c>
      <c r="O57" s="18" t="n">
        <v>0</v>
      </c>
      <c r="P57" s="20" t="n">
        <v>0</v>
      </c>
      <c r="Q57" s="18" t="n">
        <v>7.44066359</v>
      </c>
      <c r="R57" s="20" t="n">
        <v>1.24425073</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(1491.0/B64*100)</f>
        <v/>
      </c>
      <c r="D64" s="19" t="n">
        <v>299</v>
      </c>
      <c r="E64" s="18" t="n">
        <v>56.71833416</v>
      </c>
      <c r="F64" s="20" t="n">
        <v>3.350423</v>
      </c>
      <c r="G64" s="18" t="n">
        <v>22.41772704</v>
      </c>
      <c r="H64" s="20" t="n">
        <v>2.5765951</v>
      </c>
      <c r="I64" s="18" t="s">
        <v>349</v>
      </c>
      <c r="J64" s="20" t="s">
        <v>349</v>
      </c>
      <c r="K64" s="18" t="n">
        <v>2.53162752</v>
      </c>
      <c r="L64" s="20" t="n">
        <v>0.81367747</v>
      </c>
      <c r="M64" s="18" t="n">
        <v>0</v>
      </c>
      <c r="N64" s="20" t="n">
        <v>0</v>
      </c>
      <c r="O64" s="18" t="n">
        <v>0</v>
      </c>
      <c r="P64" s="20" t="n">
        <v>0</v>
      </c>
      <c r="Q64" s="18" t="n">
        <v>18.33231128</v>
      </c>
      <c r="R64" s="20" t="n">
        <v>2.71366541</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599</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(2244.0/B44*100)</f>
        <v/>
      </c>
      <c r="D44" s="19" t="n">
        <v>447</v>
      </c>
      <c r="E44" s="18" t="n">
        <v>59.9852523</v>
      </c>
      <c r="F44" s="20" t="n">
        <v>2.44157257</v>
      </c>
      <c r="G44" s="18" t="n">
        <v>8.830140330000001</v>
      </c>
      <c r="H44" s="20" t="n">
        <v>1.38466739</v>
      </c>
      <c r="I44" s="18" t="s">
        <v>349</v>
      </c>
      <c r="J44" s="20" t="s">
        <v>349</v>
      </c>
      <c r="K44" s="18" t="n">
        <v>6.76999412</v>
      </c>
      <c r="L44" s="20" t="n">
        <v>1.23404832</v>
      </c>
      <c r="M44" s="18" t="n">
        <v>0</v>
      </c>
      <c r="N44" s="20" t="n">
        <v>0</v>
      </c>
      <c r="O44" s="18" t="n">
        <v>0.40308267</v>
      </c>
      <c r="P44" s="20" t="n">
        <v>0.4078915</v>
      </c>
      <c r="Q44" s="18" t="n">
        <v>24.01153058</v>
      </c>
      <c r="R44" s="20" t="n">
        <v>2.01959471</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(2132.0/B55*100)</f>
        <v/>
      </c>
      <c r="D55" s="19" t="n">
        <v>425</v>
      </c>
      <c r="E55" s="18" t="n">
        <v>55.57767392</v>
      </c>
      <c r="F55" s="20" t="n">
        <v>2.67647436</v>
      </c>
      <c r="G55" s="18" t="n">
        <v>6.40353575</v>
      </c>
      <c r="H55" s="20" t="n">
        <v>1.57337189</v>
      </c>
      <c r="I55" s="18" t="s">
        <v>349</v>
      </c>
      <c r="J55" s="20" t="s">
        <v>349</v>
      </c>
      <c r="K55" s="18" t="n">
        <v>1.86275618</v>
      </c>
      <c r="L55" s="20" t="n">
        <v>0.7029288299999999</v>
      </c>
      <c r="M55" s="18" t="n">
        <v>0</v>
      </c>
      <c r="N55" s="20" t="n">
        <v>0</v>
      </c>
      <c r="O55" s="18" t="n">
        <v>0</v>
      </c>
      <c r="P55" s="20" t="n">
        <v>0</v>
      </c>
      <c r="Q55" s="18" t="n">
        <v>36.15603414</v>
      </c>
      <c r="R55" s="20" t="n">
        <v>2.59071479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(2784.0/B57*100)</f>
        <v/>
      </c>
      <c r="D57" s="19" t="n">
        <v>559</v>
      </c>
      <c r="E57" s="18" t="n">
        <v>82.65578422999999</v>
      </c>
      <c r="F57" s="20" t="n">
        <v>1.86791346</v>
      </c>
      <c r="G57" s="18" t="n">
        <v>2.35118981</v>
      </c>
      <c r="H57" s="20" t="n">
        <v>0.72737021</v>
      </c>
      <c r="I57" s="18" t="s">
        <v>349</v>
      </c>
      <c r="J57" s="20" t="s">
        <v>349</v>
      </c>
      <c r="K57" s="18" t="n">
        <v>2.23854574</v>
      </c>
      <c r="L57" s="20" t="n">
        <v>0.8768036299999999</v>
      </c>
      <c r="M57" s="18" t="n">
        <v>0.18518312</v>
      </c>
      <c r="N57" s="20" t="n">
        <v>0.1846834</v>
      </c>
      <c r="O57" s="18" t="n">
        <v>0</v>
      </c>
      <c r="P57" s="20" t="n">
        <v>0</v>
      </c>
      <c r="Q57" s="18" t="n">
        <v>12.5692971</v>
      </c>
      <c r="R57" s="20" t="n">
        <v>1.43737916</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(1491.0/B64*100)</f>
        <v/>
      </c>
      <c r="D64" s="19" t="n">
        <v>299</v>
      </c>
      <c r="E64" s="18" t="n">
        <v>40.68880647</v>
      </c>
      <c r="F64" s="20" t="n">
        <v>2.64136654</v>
      </c>
      <c r="G64" s="18" t="n">
        <v>44.74193265</v>
      </c>
      <c r="H64" s="20" t="n">
        <v>2.53729594</v>
      </c>
      <c r="I64" s="18" t="s">
        <v>349</v>
      </c>
      <c r="J64" s="20" t="s">
        <v>349</v>
      </c>
      <c r="K64" s="18" t="n">
        <v>2.53162752</v>
      </c>
      <c r="L64" s="20" t="n">
        <v>0.81367747</v>
      </c>
      <c r="M64" s="18" t="n">
        <v>0</v>
      </c>
      <c r="N64" s="20" t="n">
        <v>0</v>
      </c>
      <c r="O64" s="18" t="n">
        <v>0</v>
      </c>
      <c r="P64" s="20" t="n">
        <v>0</v>
      </c>
      <c r="Q64" s="18" t="n">
        <v>12.03763336</v>
      </c>
      <c r="R64" s="20" t="n">
        <v>1.84356932</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(2244.0/B44*100)</f>
        <v/>
      </c>
      <c r="D44" s="19" t="n">
        <v>447</v>
      </c>
      <c r="E44" s="18" t="n">
        <v>37.40525646</v>
      </c>
      <c r="F44" s="20" t="n">
        <v>2.29877869</v>
      </c>
      <c r="G44" s="18" t="n">
        <v>41.45985902</v>
      </c>
      <c r="H44" s="20" t="n">
        <v>2.74738108</v>
      </c>
      <c r="I44" s="18" t="s">
        <v>349</v>
      </c>
      <c r="J44" s="20" t="s">
        <v>349</v>
      </c>
      <c r="K44" s="18" t="n">
        <v>7.69891083</v>
      </c>
      <c r="L44" s="20" t="n">
        <v>1.29469928</v>
      </c>
      <c r="M44" s="18" t="n">
        <v>0</v>
      </c>
      <c r="N44" s="20" t="n">
        <v>0</v>
      </c>
      <c r="O44" s="18" t="n">
        <v>1.0039855</v>
      </c>
      <c r="P44" s="20" t="n">
        <v>0.5296801799999999</v>
      </c>
      <c r="Q44" s="18" t="n">
        <v>12.43198818</v>
      </c>
      <c r="R44" s="20" t="n">
        <v>2.00545215</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(2132.0/B55*100)</f>
        <v/>
      </c>
      <c r="D55" s="19" t="n">
        <v>425</v>
      </c>
      <c r="E55" s="18" t="n">
        <v>50.85201046</v>
      </c>
      <c r="F55" s="20" t="n">
        <v>2.54444357</v>
      </c>
      <c r="G55" s="18" t="n">
        <v>42.07649314</v>
      </c>
      <c r="H55" s="20" t="n">
        <v>2.52445054</v>
      </c>
      <c r="I55" s="18" t="s">
        <v>349</v>
      </c>
      <c r="J55" s="20" t="s">
        <v>349</v>
      </c>
      <c r="K55" s="18" t="n">
        <v>1.86275618</v>
      </c>
      <c r="L55" s="20" t="n">
        <v>0.7029288299999999</v>
      </c>
      <c r="M55" s="18" t="n">
        <v>0</v>
      </c>
      <c r="N55" s="20" t="n">
        <v>0</v>
      </c>
      <c r="O55" s="18" t="n">
        <v>0.20009792</v>
      </c>
      <c r="P55" s="20" t="n">
        <v>0.17005085</v>
      </c>
      <c r="Q55" s="18" t="n">
        <v>5.0086423</v>
      </c>
      <c r="R55" s="20" t="n">
        <v>1.03222452</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(2784.0/B57*100)</f>
        <v/>
      </c>
      <c r="D57" s="19" t="n">
        <v>559</v>
      </c>
      <c r="E57" s="18" t="n">
        <v>62.16300677</v>
      </c>
      <c r="F57" s="20" t="n">
        <v>2.14800469</v>
      </c>
      <c r="G57" s="18" t="n">
        <v>31.73210887</v>
      </c>
      <c r="H57" s="20" t="n">
        <v>2.09659999</v>
      </c>
      <c r="I57" s="18" t="s">
        <v>349</v>
      </c>
      <c r="J57" s="20" t="s">
        <v>349</v>
      </c>
      <c r="K57" s="18" t="n">
        <v>2.49589605</v>
      </c>
      <c r="L57" s="20" t="n">
        <v>0.89190924</v>
      </c>
      <c r="M57" s="18" t="n">
        <v>0.18518312</v>
      </c>
      <c r="N57" s="20" t="n">
        <v>0.1846834</v>
      </c>
      <c r="O57" s="18" t="n">
        <v>0</v>
      </c>
      <c r="P57" s="20" t="n">
        <v>0</v>
      </c>
      <c r="Q57" s="18" t="n">
        <v>3.42380519</v>
      </c>
      <c r="R57" s="20" t="n">
        <v>0.96787169</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(1491.0/B64*100)</f>
        <v/>
      </c>
      <c r="D64" s="19" t="n">
        <v>299</v>
      </c>
      <c r="E64" s="18" t="n">
        <v>41.12839507</v>
      </c>
      <c r="F64" s="20" t="n">
        <v>2.56268757</v>
      </c>
      <c r="G64" s="18" t="n">
        <v>47.6881069</v>
      </c>
      <c r="H64" s="20" t="n">
        <v>2.52566174</v>
      </c>
      <c r="I64" s="18" t="s">
        <v>349</v>
      </c>
      <c r="J64" s="20" t="s">
        <v>349</v>
      </c>
      <c r="K64" s="18" t="n">
        <v>2.53162752</v>
      </c>
      <c r="L64" s="20" t="n">
        <v>0.81367747</v>
      </c>
      <c r="M64" s="18" t="n">
        <v>0</v>
      </c>
      <c r="N64" s="20" t="n">
        <v>0</v>
      </c>
      <c r="O64" s="18" t="n">
        <v>2.00643237</v>
      </c>
      <c r="P64" s="20" t="n">
        <v>0.80423308</v>
      </c>
      <c r="Q64" s="18" t="n">
        <v>6.64543814</v>
      </c>
      <c r="R64" s="20" t="n">
        <v>1.60439129</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(2244.0/B44*100)</f>
        <v/>
      </c>
      <c r="D44" s="19" t="n">
        <v>447</v>
      </c>
      <c r="E44" s="18" t="n">
        <v>45.891809</v>
      </c>
      <c r="F44" s="20" t="n">
        <v>2.77325812</v>
      </c>
      <c r="G44" s="18" t="n">
        <v>8.62473209</v>
      </c>
      <c r="H44" s="20" t="n">
        <v>1.63825749</v>
      </c>
      <c r="I44" s="18" t="s">
        <v>349</v>
      </c>
      <c r="J44" s="20" t="s">
        <v>349</v>
      </c>
      <c r="K44" s="18" t="n">
        <v>12.79106782</v>
      </c>
      <c r="L44" s="20" t="n">
        <v>1.83045335</v>
      </c>
      <c r="M44" s="18" t="n">
        <v>0</v>
      </c>
      <c r="N44" s="20" t="n">
        <v>0</v>
      </c>
      <c r="O44" s="18" t="n">
        <v>0</v>
      </c>
      <c r="P44" s="20" t="n">
        <v>0</v>
      </c>
      <c r="Q44" s="18" t="n">
        <v>32.69239108</v>
      </c>
      <c r="R44" s="20" t="n">
        <v>2.6184808</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(2132.0/B55*100)</f>
        <v/>
      </c>
      <c r="D55" s="19" t="n">
        <v>425</v>
      </c>
      <c r="E55" s="18" t="n">
        <v>54.09577737</v>
      </c>
      <c r="F55" s="20" t="n">
        <v>2.56391339</v>
      </c>
      <c r="G55" s="18" t="n">
        <v>0.62903228</v>
      </c>
      <c r="H55" s="20" t="n">
        <v>0.38080077</v>
      </c>
      <c r="I55" s="18" t="s">
        <v>349</v>
      </c>
      <c r="J55" s="20" t="s">
        <v>349</v>
      </c>
      <c r="K55" s="18" t="n">
        <v>9.360019400000001</v>
      </c>
      <c r="L55" s="20" t="n">
        <v>1.53485932</v>
      </c>
      <c r="M55" s="18" t="n">
        <v>0</v>
      </c>
      <c r="N55" s="20" t="n">
        <v>0</v>
      </c>
      <c r="O55" s="18" t="n">
        <v>0</v>
      </c>
      <c r="P55" s="20" t="n">
        <v>0</v>
      </c>
      <c r="Q55" s="18" t="n">
        <v>35.91517095</v>
      </c>
      <c r="R55" s="20" t="n">
        <v>2.63548296</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(2784.0/B57*100)</f>
        <v/>
      </c>
      <c r="D57" s="19" t="n">
        <v>559</v>
      </c>
      <c r="E57" s="18" t="n">
        <v>85.25907462000001</v>
      </c>
      <c r="F57" s="20" t="n">
        <v>1.98104629</v>
      </c>
      <c r="G57" s="18" t="n">
        <v>0.66475749</v>
      </c>
      <c r="H57" s="20" t="n">
        <v>0.42032101</v>
      </c>
      <c r="I57" s="18" t="s">
        <v>349</v>
      </c>
      <c r="J57" s="20" t="s">
        <v>349</v>
      </c>
      <c r="K57" s="18" t="n">
        <v>4.02318658</v>
      </c>
      <c r="L57" s="20" t="n">
        <v>1.04257613</v>
      </c>
      <c r="M57" s="18" t="n">
        <v>0</v>
      </c>
      <c r="N57" s="20" t="n">
        <v>0</v>
      </c>
      <c r="O57" s="18" t="n">
        <v>0</v>
      </c>
      <c r="P57" s="20" t="n">
        <v>0</v>
      </c>
      <c r="Q57" s="18" t="n">
        <v>10.05298131</v>
      </c>
      <c r="R57" s="20" t="n">
        <v>1.62994261</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(1491.0/B64*100)</f>
        <v/>
      </c>
      <c r="D64" s="19" t="n">
        <v>299</v>
      </c>
      <c r="E64" s="18" t="n">
        <v>69.20153788</v>
      </c>
      <c r="F64" s="20" t="n">
        <v>2.9946261</v>
      </c>
      <c r="G64" s="18" t="n">
        <v>5.66119796</v>
      </c>
      <c r="H64" s="20" t="n">
        <v>1.4316753</v>
      </c>
      <c r="I64" s="18" t="s">
        <v>349</v>
      </c>
      <c r="J64" s="20" t="s">
        <v>349</v>
      </c>
      <c r="K64" s="18" t="n">
        <v>5.3178451</v>
      </c>
      <c r="L64" s="20" t="n">
        <v>1.27701113</v>
      </c>
      <c r="M64" s="18" t="n">
        <v>0</v>
      </c>
      <c r="N64" s="20" t="n">
        <v>0</v>
      </c>
      <c r="O64" s="18" t="n">
        <v>0</v>
      </c>
      <c r="P64" s="20" t="n">
        <v>0</v>
      </c>
      <c r="Q64" s="18" t="n">
        <v>19.81941906</v>
      </c>
      <c r="R64" s="20" t="n">
        <v>2.64106434</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602</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(2244.0/B44*100)</f>
        <v/>
      </c>
      <c r="D44" s="19" t="n">
        <v>447</v>
      </c>
      <c r="E44" s="18" t="n">
        <v>42.15476869</v>
      </c>
      <c r="F44" s="20" t="n">
        <v>2.13418015</v>
      </c>
      <c r="G44" s="18" t="n">
        <v>39.26631559</v>
      </c>
      <c r="H44" s="20" t="n">
        <v>2.52122062</v>
      </c>
      <c r="I44" s="18" t="s">
        <v>349</v>
      </c>
      <c r="J44" s="20" t="s">
        <v>349</v>
      </c>
      <c r="K44" s="18" t="n">
        <v>15.16773804</v>
      </c>
      <c r="L44" s="20" t="n">
        <v>1.92653889</v>
      </c>
      <c r="M44" s="18" t="n">
        <v>0</v>
      </c>
      <c r="N44" s="20" t="n">
        <v>0</v>
      </c>
      <c r="O44" s="18" t="n">
        <v>0</v>
      </c>
      <c r="P44" s="20" t="n">
        <v>0</v>
      </c>
      <c r="Q44" s="18" t="n">
        <v>3.41117768</v>
      </c>
      <c r="R44" s="20" t="n">
        <v>0.84719241</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(2132.0/B55*100)</f>
        <v/>
      </c>
      <c r="D55" s="19" t="n">
        <v>425</v>
      </c>
      <c r="E55" s="18" t="n">
        <v>59.86671361</v>
      </c>
      <c r="F55" s="20" t="n">
        <v>2.52741888</v>
      </c>
      <c r="G55" s="18" t="n">
        <v>18.22496194</v>
      </c>
      <c r="H55" s="20" t="n">
        <v>1.92641971</v>
      </c>
      <c r="I55" s="18" t="s">
        <v>349</v>
      </c>
      <c r="J55" s="20" t="s">
        <v>349</v>
      </c>
      <c r="K55" s="18" t="n">
        <v>10.70800822</v>
      </c>
      <c r="L55" s="20" t="n">
        <v>1.67085435</v>
      </c>
      <c r="M55" s="18" t="n">
        <v>0</v>
      </c>
      <c r="N55" s="20" t="n">
        <v>0</v>
      </c>
      <c r="O55" s="18" t="n">
        <v>0.25981617</v>
      </c>
      <c r="P55" s="20" t="n">
        <v>0.26499992</v>
      </c>
      <c r="Q55" s="18" t="n">
        <v>10.94050006</v>
      </c>
      <c r="R55" s="20" t="n">
        <v>1.67088229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(2784.0/B57*100)</f>
        <v/>
      </c>
      <c r="D57" s="19" t="n">
        <v>559</v>
      </c>
      <c r="E57" s="18" t="n">
        <v>79.63743074</v>
      </c>
      <c r="F57" s="20" t="n">
        <v>2.10106365</v>
      </c>
      <c r="G57" s="18" t="n">
        <v>13.63690792</v>
      </c>
      <c r="H57" s="20" t="n">
        <v>1.69285865</v>
      </c>
      <c r="I57" s="18" t="s">
        <v>349</v>
      </c>
      <c r="J57" s="20" t="s">
        <v>349</v>
      </c>
      <c r="K57" s="18" t="n">
        <v>4.84351941</v>
      </c>
      <c r="L57" s="20" t="n">
        <v>1.12915198</v>
      </c>
      <c r="M57" s="18" t="n">
        <v>0</v>
      </c>
      <c r="N57" s="20" t="n">
        <v>0</v>
      </c>
      <c r="O57" s="18" t="n">
        <v>0</v>
      </c>
      <c r="P57" s="20" t="n">
        <v>0</v>
      </c>
      <c r="Q57" s="18" t="n">
        <v>1.88214193</v>
      </c>
      <c r="R57" s="20" t="n">
        <v>0.62986172</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(1491.0/B64*100)</f>
        <v/>
      </c>
      <c r="D64" s="19" t="n">
        <v>299</v>
      </c>
      <c r="E64" s="18" t="n">
        <v>40.87887441</v>
      </c>
      <c r="F64" s="20" t="n">
        <v>2.5906209</v>
      </c>
      <c r="G64" s="18" t="n">
        <v>48.3237338</v>
      </c>
      <c r="H64" s="20" t="n">
        <v>2.932381</v>
      </c>
      <c r="I64" s="18" t="s">
        <v>349</v>
      </c>
      <c r="J64" s="20" t="s">
        <v>349</v>
      </c>
      <c r="K64" s="18" t="n">
        <v>7.68095387</v>
      </c>
      <c r="L64" s="20" t="n">
        <v>1.53060261</v>
      </c>
      <c r="M64" s="18" t="n">
        <v>0</v>
      </c>
      <c r="N64" s="20" t="n">
        <v>0</v>
      </c>
      <c r="O64" s="18" t="n">
        <v>0</v>
      </c>
      <c r="P64" s="20" t="n">
        <v>0</v>
      </c>
      <c r="Q64" s="18" t="n">
        <v>3.11643792</v>
      </c>
      <c r="R64" s="20" t="n">
        <v>1.0556841</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(2244.0/B44*100)</f>
        <v/>
      </c>
      <c r="D44" s="19" t="n">
        <v>447</v>
      </c>
      <c r="E44" s="18" t="n">
        <v>48.38198192</v>
      </c>
      <c r="F44" s="20" t="n">
        <v>2.81183095</v>
      </c>
      <c r="G44" s="18" t="n">
        <v>26.62332114</v>
      </c>
      <c r="H44" s="20" t="n">
        <v>2.08807282</v>
      </c>
      <c r="I44" s="18" t="s">
        <v>349</v>
      </c>
      <c r="J44" s="20" t="s">
        <v>349</v>
      </c>
      <c r="K44" s="18" t="n">
        <v>23.53418781</v>
      </c>
      <c r="L44" s="20" t="n">
        <v>2.57479789</v>
      </c>
      <c r="M44" s="18" t="n">
        <v>0</v>
      </c>
      <c r="N44" s="20" t="n">
        <v>0</v>
      </c>
      <c r="O44" s="18" t="n">
        <v>0</v>
      </c>
      <c r="P44" s="20" t="n">
        <v>0</v>
      </c>
      <c r="Q44" s="18" t="n">
        <v>1.46050913</v>
      </c>
      <c r="R44" s="20" t="n">
        <v>0.53673811</v>
      </c>
    </row>
    <row r="45" spans="1:18">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(2132.0/B55*100)</f>
        <v/>
      </c>
      <c r="D55" s="19" t="n">
        <v>425</v>
      </c>
      <c r="E55" s="18" t="n">
        <v>57.92607702</v>
      </c>
      <c r="F55" s="20" t="n">
        <v>2.42319961</v>
      </c>
      <c r="G55" s="18" t="n">
        <v>21.96353201</v>
      </c>
      <c r="H55" s="20" t="n">
        <v>2.11658714</v>
      </c>
      <c r="I55" s="18" t="s">
        <v>349</v>
      </c>
      <c r="J55" s="20" t="s">
        <v>349</v>
      </c>
      <c r="K55" s="18" t="n">
        <v>17.32810531</v>
      </c>
      <c r="L55" s="20" t="n">
        <v>1.91086651</v>
      </c>
      <c r="M55" s="18" t="n">
        <v>0</v>
      </c>
      <c r="N55" s="20" t="n">
        <v>0</v>
      </c>
      <c r="O55" s="18" t="n">
        <v>0</v>
      </c>
      <c r="P55" s="20" t="n">
        <v>0</v>
      </c>
      <c r="Q55" s="18" t="n">
        <v>2.78228566</v>
      </c>
      <c r="R55" s="20" t="n">
        <v>0.76772907</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(2784.0/B57*100)</f>
        <v/>
      </c>
      <c r="D57" s="19" t="n">
        <v>559</v>
      </c>
      <c r="E57" s="18" t="n">
        <v>71.69119363999999</v>
      </c>
      <c r="F57" s="20" t="n">
        <v>2.4543061</v>
      </c>
      <c r="G57" s="18" t="n">
        <v>18.34143985</v>
      </c>
      <c r="H57" s="20" t="n">
        <v>1.90429735</v>
      </c>
      <c r="I57" s="18" t="s">
        <v>349</v>
      </c>
      <c r="J57" s="20" t="s">
        <v>349</v>
      </c>
      <c r="K57" s="18" t="n">
        <v>7.86528673</v>
      </c>
      <c r="L57" s="20" t="n">
        <v>1.47471508</v>
      </c>
      <c r="M57" s="18" t="n">
        <v>0</v>
      </c>
      <c r="N57" s="20" t="n">
        <v>0</v>
      </c>
      <c r="O57" s="18" t="n">
        <v>0</v>
      </c>
      <c r="P57" s="20" t="n">
        <v>0</v>
      </c>
      <c r="Q57" s="18" t="n">
        <v>2.10207978</v>
      </c>
      <c r="R57" s="20" t="n">
        <v>0.6937106</v>
      </c>
    </row>
    <row r="58" spans="1:18">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1790</v>
      </c>
      <c r="C64" s="18">
        <f>(1491.0/B64*100)</f>
        <v/>
      </c>
      <c r="D64" s="19" t="n">
        <v>299</v>
      </c>
      <c r="E64" s="18" t="n">
        <v>34.99537026</v>
      </c>
      <c r="F64" s="20" t="n">
        <v>2.73650934</v>
      </c>
      <c r="G64" s="18" t="n">
        <v>54.01025306</v>
      </c>
      <c r="H64" s="20" t="n">
        <v>2.90079979</v>
      </c>
      <c r="I64" s="18" t="s">
        <v>349</v>
      </c>
      <c r="J64" s="20" t="s">
        <v>349</v>
      </c>
      <c r="K64" s="18" t="n">
        <v>10.55284073</v>
      </c>
      <c r="L64" s="20" t="n">
        <v>1.83750528</v>
      </c>
      <c r="M64" s="18" t="n">
        <v>0</v>
      </c>
      <c r="N64" s="20" t="n">
        <v>0</v>
      </c>
      <c r="O64" s="18" t="n">
        <v>0</v>
      </c>
      <c r="P64" s="20" t="n">
        <v>0</v>
      </c>
      <c r="Q64" s="18" t="n">
        <v>0.44153595</v>
      </c>
      <c r="R64" s="20" t="n">
        <v>0.42288326</v>
      </c>
    </row>
    <row r="65" spans="1:18">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604</v>
      </c>
    </row>
    <row customHeight="1" ht="30" r="4" spans="1:24">
      <c r="A4" s="6" t="n"/>
      <c r="B4" s="7" t="s">
        <v>333</v>
      </c>
      <c r="C4" s="7" t="s">
        <v>334</v>
      </c>
      <c r="D4" s="8" t="s">
        <v>333</v>
      </c>
      <c r="E4" s="9" t="s">
        <v>440</v>
      </c>
      <c r="F4" s="10" t="n"/>
      <c r="G4" s="9" t="s">
        <v>536</v>
      </c>
      <c r="H4" s="10" t="n"/>
      <c r="I4" s="9" t="s">
        <v>441</v>
      </c>
      <c r="J4" s="10" t="n"/>
      <c r="K4" s="9" t="s">
        <v>442</v>
      </c>
      <c r="L4" s="10" t="n"/>
      <c r="M4" s="9" t="s">
        <v>444</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row>
    <row r="6" spans="1:24">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c r="U7" s="18" t="s">
        <v>349</v>
      </c>
      <c r="V7" s="20" t="s">
        <v>349</v>
      </c>
      <c r="W7" s="18" t="s">
        <v>349</v>
      </c>
      <c r="X7" s="20" t="s">
        <v>349</v>
      </c>
    </row>
    <row r="8" spans="1:24">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c r="U8" s="18" t="s">
        <v>349</v>
      </c>
      <c r="V8" s="20" t="s">
        <v>349</v>
      </c>
      <c r="W8" s="18" t="s">
        <v>349</v>
      </c>
      <c r="X8" s="20" t="s">
        <v>349</v>
      </c>
    </row>
    <row r="9" spans="1:24">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c r="U9" s="18" t="s">
        <v>349</v>
      </c>
      <c r="V9" s="20" t="s">
        <v>349</v>
      </c>
      <c r="W9" s="18" t="s">
        <v>349</v>
      </c>
      <c r="X9" s="20" t="s">
        <v>349</v>
      </c>
    </row>
    <row r="10" spans="1:24">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c r="U10" s="18" t="s">
        <v>349</v>
      </c>
      <c r="V10" s="20" t="s">
        <v>349</v>
      </c>
      <c r="W10" s="18" t="s">
        <v>349</v>
      </c>
      <c r="X10" s="20" t="s">
        <v>349</v>
      </c>
    </row>
    <row r="11" spans="1:24">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c r="W11" s="18" t="s">
        <v>349</v>
      </c>
      <c r="X11" s="20" t="s">
        <v>349</v>
      </c>
    </row>
    <row r="12" spans="1:24">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c r="U12" s="18" t="s">
        <v>349</v>
      </c>
      <c r="V12" s="20" t="s">
        <v>349</v>
      </c>
      <c r="W12" s="18" t="s">
        <v>349</v>
      </c>
      <c r="X12" s="20" t="s">
        <v>349</v>
      </c>
    </row>
    <row r="13" spans="1:24">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c r="U13" s="18" t="s">
        <v>349</v>
      </c>
      <c r="V13" s="20" t="s">
        <v>349</v>
      </c>
      <c r="W13" s="18" t="s">
        <v>349</v>
      </c>
      <c r="X13" s="20" t="s">
        <v>349</v>
      </c>
    </row>
    <row r="14" spans="1:24">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c r="U14" s="18" t="s">
        <v>349</v>
      </c>
      <c r="V14" s="20" t="s">
        <v>349</v>
      </c>
      <c r="W14" s="18" t="s">
        <v>349</v>
      </c>
      <c r="X14" s="20" t="s">
        <v>349</v>
      </c>
    </row>
    <row r="15" spans="1:24">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c r="U15" s="18" t="s">
        <v>349</v>
      </c>
      <c r="V15" s="20" t="s">
        <v>349</v>
      </c>
      <c r="W15" s="18" t="s">
        <v>349</v>
      </c>
      <c r="X15" s="20" t="s">
        <v>349</v>
      </c>
    </row>
    <row r="16" spans="1:24">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c r="U16" s="18" t="s">
        <v>349</v>
      </c>
      <c r="V16" s="20" t="s">
        <v>349</v>
      </c>
      <c r="W16" s="18" t="s">
        <v>349</v>
      </c>
      <c r="X16" s="20" t="s">
        <v>349</v>
      </c>
    </row>
    <row r="17" spans="1:24">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c r="U17" s="18" t="s">
        <v>349</v>
      </c>
      <c r="V17" s="20" t="s">
        <v>349</v>
      </c>
      <c r="W17" s="18" t="s">
        <v>349</v>
      </c>
      <c r="X17" s="20" t="s">
        <v>349</v>
      </c>
    </row>
    <row r="18" spans="1:24">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c r="U18" s="18" t="s">
        <v>349</v>
      </c>
      <c r="V18" s="20" t="s">
        <v>349</v>
      </c>
      <c r="W18" s="18" t="s">
        <v>349</v>
      </c>
      <c r="X18" s="20" t="s">
        <v>349</v>
      </c>
    </row>
    <row r="19" spans="1:24">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c r="U19" s="18" t="s">
        <v>349</v>
      </c>
      <c r="V19" s="20" t="s">
        <v>349</v>
      </c>
      <c r="W19" s="18" t="s">
        <v>349</v>
      </c>
      <c r="X19" s="20" t="s">
        <v>349</v>
      </c>
    </row>
    <row r="20" spans="1:24">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c r="U20" s="18" t="s">
        <v>349</v>
      </c>
      <c r="V20" s="20" t="s">
        <v>349</v>
      </c>
      <c r="W20" s="18" t="s">
        <v>349</v>
      </c>
      <c r="X20" s="20" t="s">
        <v>349</v>
      </c>
    </row>
    <row r="21" spans="1:24">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c r="U21" s="18" t="s">
        <v>349</v>
      </c>
      <c r="V21" s="20" t="s">
        <v>349</v>
      </c>
      <c r="W21" s="18" t="s">
        <v>349</v>
      </c>
      <c r="X21" s="20" t="s">
        <v>349</v>
      </c>
    </row>
    <row r="22" spans="1:24">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c r="U22" s="18" t="s">
        <v>349</v>
      </c>
      <c r="V22" s="20" t="s">
        <v>349</v>
      </c>
      <c r="W22" s="18" t="s">
        <v>349</v>
      </c>
      <c r="X22" s="20" t="s">
        <v>349</v>
      </c>
    </row>
    <row r="23" spans="1:24">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c r="U23" s="18" t="s">
        <v>349</v>
      </c>
      <c r="V23" s="20" t="s">
        <v>349</v>
      </c>
      <c r="W23" s="18" t="s">
        <v>349</v>
      </c>
      <c r="X23" s="20" t="s">
        <v>349</v>
      </c>
    </row>
    <row r="24" spans="1:24">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c r="U24" s="18" t="s">
        <v>349</v>
      </c>
      <c r="V24" s="20" t="s">
        <v>349</v>
      </c>
      <c r="W24" s="18" t="s">
        <v>349</v>
      </c>
      <c r="X24" s="20" t="s">
        <v>349</v>
      </c>
    </row>
    <row r="25" spans="1:24">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c r="U25" s="18" t="s">
        <v>349</v>
      </c>
      <c r="V25" s="20" t="s">
        <v>349</v>
      </c>
      <c r="W25" s="18" t="s">
        <v>349</v>
      </c>
      <c r="X25" s="20" t="s">
        <v>349</v>
      </c>
    </row>
    <row r="26" spans="1:24">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c r="U26" s="18" t="s">
        <v>349</v>
      </c>
      <c r="V26" s="20" t="s">
        <v>349</v>
      </c>
      <c r="W26" s="18" t="s">
        <v>349</v>
      </c>
      <c r="X26" s="20" t="s">
        <v>349</v>
      </c>
    </row>
    <row r="27" spans="1:24">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c r="U27" s="18" t="s">
        <v>349</v>
      </c>
      <c r="V27" s="20" t="s">
        <v>349</v>
      </c>
      <c r="W27" s="18" t="s">
        <v>349</v>
      </c>
      <c r="X27" s="20" t="s">
        <v>349</v>
      </c>
    </row>
    <row r="28" spans="1:24">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c r="W28" s="18" t="s">
        <v>349</v>
      </c>
      <c r="X28" s="20" t="s">
        <v>349</v>
      </c>
    </row>
    <row r="29" spans="1:24">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c r="U29" s="18" t="s">
        <v>349</v>
      </c>
      <c r="V29" s="20" t="s">
        <v>349</v>
      </c>
      <c r="W29" s="18" t="s">
        <v>349</v>
      </c>
      <c r="X29" s="20" t="s">
        <v>349</v>
      </c>
    </row>
    <row r="30" spans="1:24">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c r="U30" s="18" t="s">
        <v>349</v>
      </c>
      <c r="V30" s="20" t="s">
        <v>349</v>
      </c>
      <c r="W30" s="18" t="s">
        <v>349</v>
      </c>
      <c r="X30" s="20" t="s">
        <v>349</v>
      </c>
    </row>
    <row r="31" spans="1:24">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c r="U31" s="18" t="s">
        <v>349</v>
      </c>
      <c r="V31" s="20" t="s">
        <v>349</v>
      </c>
      <c r="W31" s="18" t="s">
        <v>349</v>
      </c>
      <c r="X31" s="20" t="s">
        <v>349</v>
      </c>
    </row>
    <row r="32" spans="1:24">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c r="U32" s="18" t="s">
        <v>349</v>
      </c>
      <c r="V32" s="20" t="s">
        <v>349</v>
      </c>
      <c r="W32" s="18" t="s">
        <v>349</v>
      </c>
      <c r="X32" s="20" t="s">
        <v>349</v>
      </c>
    </row>
    <row r="33" spans="1:24">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c r="U33" s="18" t="s">
        <v>349</v>
      </c>
      <c r="V33" s="20" t="s">
        <v>349</v>
      </c>
      <c r="W33" s="18" t="s">
        <v>349</v>
      </c>
      <c r="X33" s="20" t="s">
        <v>349</v>
      </c>
    </row>
    <row r="34" spans="1:24">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c r="U34" s="18" t="s">
        <v>349</v>
      </c>
      <c r="V34" s="20" t="s">
        <v>349</v>
      </c>
      <c r="W34" s="18" t="s">
        <v>349</v>
      </c>
      <c r="X34" s="20" t="s">
        <v>349</v>
      </c>
    </row>
    <row r="35" spans="1:24">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c r="U35" s="18" t="s">
        <v>349</v>
      </c>
      <c r="V35" s="20" t="s">
        <v>349</v>
      </c>
      <c r="W35" s="18" t="s">
        <v>349</v>
      </c>
      <c r="X35" s="20" t="s">
        <v>349</v>
      </c>
    </row>
    <row r="36" spans="1:24">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c r="U36" s="18" t="s">
        <v>349</v>
      </c>
      <c r="V36" s="20" t="s">
        <v>349</v>
      </c>
      <c r="W36" s="18" t="s">
        <v>349</v>
      </c>
      <c r="X36" s="20" t="s">
        <v>349</v>
      </c>
    </row>
    <row r="37" spans="1:24">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c r="U37" s="18" t="s">
        <v>349</v>
      </c>
      <c r="V37" s="20" t="s">
        <v>349</v>
      </c>
      <c r="W37" s="18" t="s">
        <v>349</v>
      </c>
      <c r="X37" s="20" t="s">
        <v>349</v>
      </c>
    </row>
    <row r="38" spans="1:24">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c r="U38" s="18" t="s">
        <v>349</v>
      </c>
      <c r="V38" s="20" t="s">
        <v>349</v>
      </c>
      <c r="W38" s="18" t="s">
        <v>349</v>
      </c>
      <c r="X38" s="20" t="s">
        <v>349</v>
      </c>
    </row>
    <row r="39" spans="1:24">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c r="U39" s="18" t="s">
        <v>349</v>
      </c>
      <c r="V39" s="20" t="s">
        <v>349</v>
      </c>
      <c r="W39" s="18" t="s">
        <v>349</v>
      </c>
      <c r="X39" s="20" t="s">
        <v>349</v>
      </c>
    </row>
    <row r="40" spans="1:24">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c r="U40" s="18" t="s">
        <v>349</v>
      </c>
      <c r="V40" s="20" t="s">
        <v>349</v>
      </c>
      <c r="W40" s="18" t="s">
        <v>349</v>
      </c>
      <c r="X40" s="20" t="s">
        <v>349</v>
      </c>
    </row>
    <row r="41" spans="1:24">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c r="U41" s="18" t="s">
        <v>349</v>
      </c>
      <c r="V41" s="20" t="s">
        <v>349</v>
      </c>
      <c r="W41" s="18" t="s">
        <v>349</v>
      </c>
      <c r="X41" s="20" t="s">
        <v>349</v>
      </c>
    </row>
    <row r="42" spans="1:24">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386</v>
      </c>
      <c r="B44" s="17" t="n">
        <v>2691</v>
      </c>
      <c r="C44" s="18">
        <f>(2244.0/B44*100)</f>
        <v/>
      </c>
      <c r="D44" s="19" t="n">
        <v>447</v>
      </c>
      <c r="E44" s="18" t="n">
        <v>37.81679751</v>
      </c>
      <c r="F44" s="20" t="n">
        <v>2.67374325</v>
      </c>
      <c r="G44" s="18" t="n">
        <v>0</v>
      </c>
      <c r="H44" s="20" t="n">
        <v>0</v>
      </c>
      <c r="I44" s="18" t="n">
        <v>9.28951262</v>
      </c>
      <c r="J44" s="20" t="n">
        <v>1.35077723</v>
      </c>
      <c r="K44" s="18" t="n">
        <v>2.8112979</v>
      </c>
      <c r="L44" s="20" t="n">
        <v>1.15249721</v>
      </c>
      <c r="M44" s="18" t="n">
        <v>2.12365533</v>
      </c>
      <c r="N44" s="20" t="n">
        <v>0.7651790000000001</v>
      </c>
      <c r="O44" s="18" t="s">
        <v>349</v>
      </c>
      <c r="P44" s="20" t="s">
        <v>349</v>
      </c>
      <c r="Q44" s="18" t="n">
        <v>47.95873664</v>
      </c>
      <c r="R44" s="20" t="n">
        <v>3.03457144</v>
      </c>
      <c r="S44" s="18" t="n">
        <v>0</v>
      </c>
      <c r="T44" s="20" t="n">
        <v>0</v>
      </c>
      <c r="U44" s="18" t="n">
        <v>0</v>
      </c>
      <c r="V44" s="20" t="n">
        <v>0</v>
      </c>
      <c r="W44" s="18" t="n">
        <v>0</v>
      </c>
      <c r="X44" s="20" t="n">
        <v>0</v>
      </c>
    </row>
    <row r="45" spans="1:24">
      <c r="A45" s="15" t="s">
        <v>387</v>
      </c>
      <c r="B45" s="17" t="n">
        <v>2670</v>
      </c>
      <c r="C45" s="18">
        <f>(2670.0/B45*100)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c r="W45" s="18" t="s">
        <v>349</v>
      </c>
      <c r="X45" s="20" t="s">
        <v>349</v>
      </c>
    </row>
    <row r="46" spans="1:24">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c r="W46" s="18" t="s">
        <v>349</v>
      </c>
      <c r="X46" s="20" t="s">
        <v>349</v>
      </c>
    </row>
    <row r="47" spans="1:24">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c r="W47" s="18" t="s">
        <v>349</v>
      </c>
      <c r="X47" s="20" t="s">
        <v>349</v>
      </c>
    </row>
    <row r="48" spans="1:24">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c r="U48" s="18" t="s">
        <v>349</v>
      </c>
      <c r="V48" s="20" t="s">
        <v>349</v>
      </c>
      <c r="W48" s="18" t="s">
        <v>349</v>
      </c>
      <c r="X48" s="20" t="s">
        <v>349</v>
      </c>
    </row>
    <row r="49" spans="1:24">
      <c r="A49" s="15" t="s">
        <v>391</v>
      </c>
      <c r="B49" s="17" t="n">
        <v>3331</v>
      </c>
      <c r="C49" s="18">
        <f>(3331.0/B49*100)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c r="W49" s="18" t="s">
        <v>349</v>
      </c>
      <c r="X49" s="20" t="s">
        <v>349</v>
      </c>
    </row>
    <row r="50" spans="1:24">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c r="W50" s="18" t="s">
        <v>349</v>
      </c>
      <c r="X50" s="20" t="s">
        <v>349</v>
      </c>
    </row>
    <row r="51" spans="1:24">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c r="W51" s="18" t="s">
        <v>349</v>
      </c>
      <c r="X51" s="20" t="s">
        <v>349</v>
      </c>
    </row>
    <row r="52" spans="1:24">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c r="U52" s="18" t="s">
        <v>349</v>
      </c>
      <c r="V52" s="20" t="s">
        <v>349</v>
      </c>
      <c r="W52" s="18" t="s">
        <v>349</v>
      </c>
      <c r="X52" s="20" t="s">
        <v>349</v>
      </c>
    </row>
    <row r="53" spans="1:24">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c r="W53" s="18" t="s">
        <v>349</v>
      </c>
      <c r="X53" s="20" t="s">
        <v>349</v>
      </c>
    </row>
    <row r="54" spans="1:24">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c r="W54" s="18" t="s">
        <v>349</v>
      </c>
      <c r="X54" s="20" t="s">
        <v>349</v>
      </c>
    </row>
    <row r="55" spans="1:24">
      <c r="A55" s="15" t="s">
        <v>397</v>
      </c>
      <c r="B55" s="17" t="n">
        <v>2557</v>
      </c>
      <c r="C55" s="18">
        <f>(2132.0/B55*100)</f>
        <v/>
      </c>
      <c r="D55" s="19" t="n">
        <v>425</v>
      </c>
      <c r="E55" s="18" t="n">
        <v>44.79935892</v>
      </c>
      <c r="F55" s="20" t="n">
        <v>2.50707971</v>
      </c>
      <c r="G55" s="18" t="n">
        <v>0</v>
      </c>
      <c r="H55" s="20" t="n">
        <v>0</v>
      </c>
      <c r="I55" s="18" t="n">
        <v>2.68659705</v>
      </c>
      <c r="J55" s="20" t="n">
        <v>0.82669621</v>
      </c>
      <c r="K55" s="18" t="n">
        <v>1.81480678</v>
      </c>
      <c r="L55" s="20" t="n">
        <v>0.65066475</v>
      </c>
      <c r="M55" s="18" t="n">
        <v>1.90479025</v>
      </c>
      <c r="N55" s="20" t="n">
        <v>0.59982839</v>
      </c>
      <c r="O55" s="18" t="s">
        <v>349</v>
      </c>
      <c r="P55" s="20" t="s">
        <v>349</v>
      </c>
      <c r="Q55" s="18" t="n">
        <v>48.79444701</v>
      </c>
      <c r="R55" s="20" t="n">
        <v>2.63972127</v>
      </c>
      <c r="S55" s="18" t="n">
        <v>0</v>
      </c>
      <c r="T55" s="20" t="n">
        <v>0</v>
      </c>
      <c r="U55" s="18" t="n">
        <v>0</v>
      </c>
      <c r="V55" s="20" t="n">
        <v>0</v>
      </c>
      <c r="W55" s="18" t="n">
        <v>0</v>
      </c>
      <c r="X55" s="20" t="n">
        <v>0</v>
      </c>
    </row>
    <row r="56" spans="1:24">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c r="U56" s="18" t="s">
        <v>349</v>
      </c>
      <c r="V56" s="20" t="s">
        <v>349</v>
      </c>
      <c r="W56" s="18" t="s">
        <v>349</v>
      </c>
      <c r="X56" s="20" t="s">
        <v>349</v>
      </c>
    </row>
    <row r="57" spans="1:24">
      <c r="A57" s="15" t="s">
        <v>399</v>
      </c>
      <c r="B57" s="17" t="n">
        <v>3343</v>
      </c>
      <c r="C57" s="18">
        <f>(2784.0/B57*100)</f>
        <v/>
      </c>
      <c r="D57" s="19" t="n">
        <v>559</v>
      </c>
      <c r="E57" s="18" t="n">
        <v>79.79452679000001</v>
      </c>
      <c r="F57" s="20" t="n">
        <v>2.22178418</v>
      </c>
      <c r="G57" s="18" t="n">
        <v>0</v>
      </c>
      <c r="H57" s="20" t="n">
        <v>0</v>
      </c>
      <c r="I57" s="18" t="n">
        <v>0.50581703</v>
      </c>
      <c r="J57" s="20" t="n">
        <v>0.31117138</v>
      </c>
      <c r="K57" s="18" t="n">
        <v>1.75813105</v>
      </c>
      <c r="L57" s="20" t="n">
        <v>0.5693210399999999</v>
      </c>
      <c r="M57" s="18" t="n">
        <v>0.60431181</v>
      </c>
      <c r="N57" s="20" t="n">
        <v>0.20814336</v>
      </c>
      <c r="O57" s="18" t="s">
        <v>349</v>
      </c>
      <c r="P57" s="20" t="s">
        <v>349</v>
      </c>
      <c r="Q57" s="18" t="n">
        <v>17.33721333</v>
      </c>
      <c r="R57" s="20" t="n">
        <v>2.13487208</v>
      </c>
      <c r="S57" s="18" t="n">
        <v>0</v>
      </c>
      <c r="T57" s="20" t="n">
        <v>0</v>
      </c>
      <c r="U57" s="18" t="n">
        <v>0</v>
      </c>
      <c r="V57" s="20" t="n">
        <v>0</v>
      </c>
      <c r="W57" s="18" t="n">
        <v>0</v>
      </c>
      <c r="X57" s="20" t="n">
        <v>0</v>
      </c>
    </row>
    <row r="58" spans="1:24">
      <c r="A58" s="15" t="s">
        <v>400</v>
      </c>
      <c r="B58" s="17" t="n">
        <v>3737</v>
      </c>
      <c r="C58" s="18">
        <f>(3737.0/B58*100)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c r="W58" s="18" t="s">
        <v>349</v>
      </c>
      <c r="X58" s="20" t="s">
        <v>349</v>
      </c>
    </row>
    <row r="59" spans="1:24">
      <c r="A59" s="15" t="s">
        <v>401</v>
      </c>
      <c r="B59" s="17" t="n">
        <v>2278</v>
      </c>
      <c r="C59" s="18">
        <f>(2278.0/B59*100)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c r="W59" s="18" t="s">
        <v>349</v>
      </c>
      <c r="X59" s="20" t="s">
        <v>349</v>
      </c>
    </row>
    <row r="60" spans="1:24">
      <c r="A60" s="15" t="s">
        <v>402</v>
      </c>
      <c r="B60" s="17" t="n">
        <v>2451</v>
      </c>
      <c r="C60" s="18">
        <f>(2451.0/B60*100)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c r="W60" s="18" t="s">
        <v>349</v>
      </c>
      <c r="X60" s="20" t="s">
        <v>349</v>
      </c>
    </row>
    <row r="61" spans="1:24">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c r="U61" s="18" t="s">
        <v>349</v>
      </c>
      <c r="V61" s="20" t="s">
        <v>349</v>
      </c>
      <c r="W61" s="18" t="s">
        <v>349</v>
      </c>
      <c r="X61" s="20" t="s">
        <v>349</v>
      </c>
    </row>
    <row r="62" spans="1:24">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c r="U62" s="18" t="s">
        <v>349</v>
      </c>
      <c r="V62" s="20" t="s">
        <v>349</v>
      </c>
      <c r="W62" s="18" t="s">
        <v>349</v>
      </c>
      <c r="X62" s="20" t="s">
        <v>349</v>
      </c>
    </row>
    <row r="63" spans="1:24">
      <c r="A63" s="15" t="s">
        <v>405</v>
      </c>
      <c r="B63" s="17" t="n">
        <v>2511</v>
      </c>
      <c r="C63" s="18">
        <f>(2511.0/B63*100)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c r="W63" s="18" t="s">
        <v>349</v>
      </c>
      <c r="X63" s="20" t="s">
        <v>349</v>
      </c>
    </row>
    <row r="64" spans="1:24">
      <c r="A64" s="15" t="s">
        <v>406</v>
      </c>
      <c r="B64" s="17" t="n">
        <v>1790</v>
      </c>
      <c r="C64" s="18">
        <f>(1491.0/B64*100)</f>
        <v/>
      </c>
      <c r="D64" s="19" t="n">
        <v>299</v>
      </c>
      <c r="E64" s="18" t="n">
        <v>49.82259128</v>
      </c>
      <c r="F64" s="20" t="n">
        <v>2.94710286</v>
      </c>
      <c r="G64" s="18" t="n">
        <v>0</v>
      </c>
      <c r="H64" s="20" t="n">
        <v>0</v>
      </c>
      <c r="I64" s="18" t="n">
        <v>0.65934584</v>
      </c>
      <c r="J64" s="20" t="n">
        <v>0.47013861</v>
      </c>
      <c r="K64" s="18" t="n">
        <v>9.58806553</v>
      </c>
      <c r="L64" s="20" t="n">
        <v>1.60138785</v>
      </c>
      <c r="M64" s="18" t="n">
        <v>13.33822291</v>
      </c>
      <c r="N64" s="20" t="n">
        <v>2.0206343</v>
      </c>
      <c r="O64" s="18" t="s">
        <v>349</v>
      </c>
      <c r="P64" s="20" t="s">
        <v>349</v>
      </c>
      <c r="Q64" s="18" t="n">
        <v>26.59177445</v>
      </c>
      <c r="R64" s="20" t="n">
        <v>2.59611854</v>
      </c>
      <c r="S64" s="18" t="n">
        <v>0</v>
      </c>
      <c r="T64" s="20" t="n">
        <v>0</v>
      </c>
      <c r="U64" s="18" t="n">
        <v>0</v>
      </c>
      <c r="V64" s="20" t="n">
        <v>0</v>
      </c>
      <c r="W64" s="18" t="n">
        <v>0</v>
      </c>
      <c r="X64" s="20" t="n">
        <v>0</v>
      </c>
    </row>
    <row r="65" spans="1:24">
      <c r="A65" s="15" t="s">
        <v>407</v>
      </c>
      <c r="B65" s="17" t="n">
        <v>2634</v>
      </c>
      <c r="C65" s="18">
        <f>(2634.0/B65*100)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c r="W65" s="18" t="s">
        <v>349</v>
      </c>
      <c r="X65" s="20" t="s">
        <v>349</v>
      </c>
    </row>
    <row r="66" spans="1:24">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c r="U66" s="18" t="s">
        <v>349</v>
      </c>
      <c r="V66" s="20" t="s">
        <v>349</v>
      </c>
      <c r="W66" s="18" t="s">
        <v>349</v>
      </c>
      <c r="X66" s="20" t="s">
        <v>349</v>
      </c>
    </row>
    <row r="67" spans="1:24">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c r="W67" s="18" t="s">
        <v>349</v>
      </c>
      <c r="X67" s="20" t="s">
        <v>349</v>
      </c>
    </row>
    <row r="68" spans="1:24">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c r="U68" s="18" t="s">
        <v>349</v>
      </c>
      <c r="V68" s="20" t="s">
        <v>349</v>
      </c>
      <c r="W68" s="18" t="s">
        <v>349</v>
      </c>
      <c r="X68" s="20" t="s">
        <v>349</v>
      </c>
    </row>
    <row r="69" spans="1:24">
      <c r="A69" s="15" t="s">
        <v>411</v>
      </c>
      <c r="B69" s="17" t="n">
        <v>2466</v>
      </c>
      <c r="C69" s="18">
        <f>(2466.0/B69*100)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c r="W69" s="18" t="s">
        <v>349</v>
      </c>
      <c r="X69" s="20" t="s">
        <v>349</v>
      </c>
    </row>
    <row r="70" spans="1:24">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c r="U70" s="18" t="s">
        <v>349</v>
      </c>
      <c r="V70" s="20" t="s">
        <v>349</v>
      </c>
      <c r="W70" s="18" t="s">
        <v>349</v>
      </c>
      <c r="X70" s="20" t="s">
        <v>349</v>
      </c>
    </row>
    <row r="71" spans="1:24">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c r="U71" s="18" t="s">
        <v>349</v>
      </c>
      <c r="V71" s="20" t="s">
        <v>349</v>
      </c>
      <c r="W71" s="18" t="s">
        <v>349</v>
      </c>
      <c r="X71" s="20" t="s">
        <v>349</v>
      </c>
    </row>
    <row r="72" spans="1:24">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c r="U72" s="18" t="s">
        <v>349</v>
      </c>
      <c r="V72" s="20" t="s">
        <v>349</v>
      </c>
      <c r="W72" s="18" t="s">
        <v>349</v>
      </c>
      <c r="X72" s="20" t="s">
        <v>349</v>
      </c>
    </row>
    <row r="73" spans="1:24">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c r="U73" s="18" t="s">
        <v>349</v>
      </c>
      <c r="V73" s="20" t="s">
        <v>349</v>
      </c>
      <c r="W73" s="18" t="s">
        <v>349</v>
      </c>
      <c r="X73" s="20" t="s">
        <v>349</v>
      </c>
    </row>
    <row r="74" spans="1:24">
      <c r="A74" s="15" t="s">
        <v>416</v>
      </c>
      <c r="B74" s="17" t="n">
        <v>2453</v>
      </c>
      <c r="C74" s="18">
        <f>(2453.0/B74*100)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c r="W74" s="18" t="s">
        <v>349</v>
      </c>
      <c r="X74" s="20" t="s">
        <v>349</v>
      </c>
    </row>
    <row r="75" spans="1:24">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c r="W75" s="18" t="s">
        <v>349</v>
      </c>
      <c r="X75" s="20" t="s">
        <v>349</v>
      </c>
    </row>
    <row r="76" spans="1:24">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c r="W76" s="18" t="s">
        <v>349</v>
      </c>
      <c r="X76" s="20" t="s">
        <v>349</v>
      </c>
    </row>
    <row r="77" spans="1:24">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c r="W77" s="18" t="s">
        <v>349</v>
      </c>
      <c r="X77" s="20" t="s">
        <v>349</v>
      </c>
    </row>
    <row r="78" spans="1:24">
      <c r="A78" s="15" t="s">
        <v>420</v>
      </c>
      <c r="B78" s="17" t="n">
        <v>3040</v>
      </c>
      <c r="C78" s="18">
        <f>(3040.0/B78*100)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c r="W78" s="18" t="s">
        <v>349</v>
      </c>
      <c r="X78" s="20" t="s">
        <v>349</v>
      </c>
    </row>
    <row customHeight="1" ht="25" r="79" spans="1:24">
      <c r="A79" s="15" t="s">
        <v>421</v>
      </c>
      <c r="B79" s="17" t="n">
        <v>870</v>
      </c>
      <c r="C79" s="18">
        <f>(870.0/B79*100)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c r="W79" s="18" t="s">
        <v>349</v>
      </c>
      <c r="X79" s="20" t="s">
        <v>349</v>
      </c>
    </row>
    <row r="80" spans="1:24">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row>
    <row r="81" spans="1:24">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c r="U81" s="18" t="s">
        <v>349</v>
      </c>
      <c r="V81" s="20" t="s">
        <v>349</v>
      </c>
      <c r="W81" s="18" t="s">
        <v>349</v>
      </c>
      <c r="X81" s="20" t="s">
        <v>349</v>
      </c>
    </row>
    <row r="82" spans="1:24">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row>
    <row r="83" spans="1:24">
      <c r="A83" s="3" t="s">
        <v>425</v>
      </c>
    </row>
    <row r="84" spans="1:24">
      <c r="A84" s="23" t="s">
        <v>426</v>
      </c>
    </row>
    <row r="85" spans="1:24">
      <c r="A85" s="23" t="s">
        <v>427</v>
      </c>
    </row>
    <row customHeight="1" ht="30" r="86" spans="1:24">
      <c r="A86" s="23" t="s">
        <v>428</v>
      </c>
    </row>
    <row customHeight="1" ht="30" r="87" spans="1:24">
      <c r="A87" s="23" t="s">
        <v>424</v>
      </c>
    </row>
    <row customHeight="1" ht="30" r="88" spans="1:24">
      <c r="A88" s="23" t="s">
        <v>429</v>
      </c>
    </row>
    <row customHeight="1" ht="30" r="89" spans="1:24">
      <c r="A89" s="23" t="s">
        <v>430</v>
      </c>
    </row>
    <row customHeight="1" ht="30" r="90" spans="1:24">
      <c r="A90" s="23" t="s">
        <v>431</v>
      </c>
    </row>
    <row customHeight="1" ht="30" r="91" spans="1:24">
      <c r="A91" s="23" t="s">
        <v>432</v>
      </c>
    </row>
    <row customHeight="1" ht="30" r="92" spans="1:24">
      <c r="A92" s="23" t="s">
        <v>433</v>
      </c>
    </row>
    <row customHeight="1" ht="30" r="93" spans="1:24">
      <c r="A93" s="23" t="s">
        <v>434</v>
      </c>
    </row>
    <row customHeight="1" ht="30" r="94" spans="1:24">
      <c r="A94" s="23" t="s">
        <v>435</v>
      </c>
    </row>
    <row customHeight="1" ht="30" r="95" spans="1:24">
      <c r="A95" s="23" t="s">
        <v>436</v>
      </c>
    </row>
    <row customHeight="1" ht="30" r="96" spans="1:24">
      <c r="A96" s="23" t="s">
        <v>437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(2228.0/B45*100)</f>
        <v/>
      </c>
      <c r="D45" s="19" t="n">
        <v>442</v>
      </c>
      <c r="E45" s="18" t="n">
        <v>35.41731124</v>
      </c>
      <c r="F45" s="20" t="n">
        <v>2.42381113</v>
      </c>
      <c r="G45" s="18" t="n">
        <v>57.08489053</v>
      </c>
      <c r="H45" s="20" t="n">
        <v>2.49301808</v>
      </c>
      <c r="I45" s="18" t="s">
        <v>349</v>
      </c>
      <c r="J45" s="20" t="s">
        <v>349</v>
      </c>
      <c r="K45" s="18" t="n">
        <v>2.14148405</v>
      </c>
      <c r="L45" s="20" t="n">
        <v>0.7600222800000001</v>
      </c>
      <c r="M45" s="18" t="n">
        <v>1.21246359</v>
      </c>
      <c r="N45" s="20" t="n">
        <v>0.55207493</v>
      </c>
      <c r="O45" s="18" t="n">
        <v>0.26676111</v>
      </c>
      <c r="P45" s="20" t="n">
        <v>0.19686968</v>
      </c>
      <c r="Q45" s="18" t="n">
        <v>3.87708947</v>
      </c>
      <c r="R45" s="20" t="n">
        <v>0.8851241</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(2758.0/B49*100)</f>
        <v/>
      </c>
      <c r="D49" s="19" t="n">
        <v>573</v>
      </c>
      <c r="E49" s="18" t="n">
        <v>8.82526749</v>
      </c>
      <c r="F49" s="20" t="n">
        <v>1.56566542</v>
      </c>
      <c r="G49" s="18" t="n">
        <v>87.93926239</v>
      </c>
      <c r="H49" s="20" t="n">
        <v>1.53531037</v>
      </c>
      <c r="I49" s="18" t="s">
        <v>349</v>
      </c>
      <c r="J49" s="20" t="s">
        <v>349</v>
      </c>
      <c r="K49" s="18" t="n">
        <v>2.14644353</v>
      </c>
      <c r="L49" s="20" t="n">
        <v>0.5718469</v>
      </c>
      <c r="M49" s="18" t="n">
        <v>0.2258985</v>
      </c>
      <c r="N49" s="20" t="n">
        <v>0.22515838</v>
      </c>
      <c r="O49" s="18" t="n">
        <v>0.23797904</v>
      </c>
      <c r="P49" s="20" t="n">
        <v>0.24824753</v>
      </c>
      <c r="Q49" s="18" t="n">
        <v>0.62514906</v>
      </c>
      <c r="R49" s="20" t="n">
        <v>0.36247164</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(3103.0/B58*100)</f>
        <v/>
      </c>
      <c r="D58" s="19" t="n">
        <v>634</v>
      </c>
      <c r="E58" s="18" t="n">
        <v>52.2185838</v>
      </c>
      <c r="F58" s="20" t="n">
        <v>2.44372758</v>
      </c>
      <c r="G58" s="18" t="n">
        <v>44.23449305</v>
      </c>
      <c r="H58" s="20" t="n">
        <v>2.48261342</v>
      </c>
      <c r="I58" s="18" t="s">
        <v>349</v>
      </c>
      <c r="J58" s="20" t="s">
        <v>349</v>
      </c>
      <c r="K58" s="18" t="n">
        <v>1.81997684</v>
      </c>
      <c r="L58" s="20" t="n">
        <v>0.58339928</v>
      </c>
      <c r="M58" s="18" t="n">
        <v>0</v>
      </c>
      <c r="N58" s="20" t="n">
        <v>0</v>
      </c>
      <c r="O58" s="18" t="n">
        <v>0.52641401</v>
      </c>
      <c r="P58" s="20" t="n">
        <v>0.32137571</v>
      </c>
      <c r="Q58" s="18" t="n">
        <v>1.2005323</v>
      </c>
      <c r="R58" s="20" t="n">
        <v>0.47543931</v>
      </c>
    </row>
    <row r="59" spans="1:18">
      <c r="A59" s="15" t="s">
        <v>401</v>
      </c>
      <c r="B59" s="17" t="n">
        <v>2278</v>
      </c>
      <c r="C59" s="18">
        <f>(1893.0/B59*100)</f>
        <v/>
      </c>
      <c r="D59" s="19" t="n">
        <v>385</v>
      </c>
      <c r="E59" s="18" t="n">
        <v>29.52067996</v>
      </c>
      <c r="F59" s="20" t="n">
        <v>2.85093873</v>
      </c>
      <c r="G59" s="18" t="n">
        <v>66.04287263000001</v>
      </c>
      <c r="H59" s="20" t="n">
        <v>2.93064861</v>
      </c>
      <c r="I59" s="18" t="s">
        <v>349</v>
      </c>
      <c r="J59" s="20" t="s">
        <v>349</v>
      </c>
      <c r="K59" s="18" t="n">
        <v>0.11767329</v>
      </c>
      <c r="L59" s="20" t="n">
        <v>0.11710838</v>
      </c>
      <c r="M59" s="18" t="n">
        <v>0.08067644</v>
      </c>
      <c r="N59" s="20" t="n">
        <v>0.08190298</v>
      </c>
      <c r="O59" s="18" t="n">
        <v>1.52195736</v>
      </c>
      <c r="P59" s="20" t="n">
        <v>0.94632633</v>
      </c>
      <c r="Q59" s="18" t="n">
        <v>2.71614032</v>
      </c>
      <c r="R59" s="20" t="n">
        <v>1.0304309</v>
      </c>
    </row>
    <row r="60" spans="1:18">
      <c r="A60" s="15" t="s">
        <v>402</v>
      </c>
      <c r="B60" s="17" t="n">
        <v>2451</v>
      </c>
      <c r="C60" s="18">
        <f>(2059.0/B60*100)</f>
        <v/>
      </c>
      <c r="D60" s="19" t="n">
        <v>392</v>
      </c>
      <c r="E60" s="18" t="n">
        <v>33.31266119</v>
      </c>
      <c r="F60" s="20" t="n">
        <v>2.89106242</v>
      </c>
      <c r="G60" s="18" t="n">
        <v>58.77969391</v>
      </c>
      <c r="H60" s="20" t="n">
        <v>3.04339698</v>
      </c>
      <c r="I60" s="18" t="s">
        <v>349</v>
      </c>
      <c r="J60" s="20" t="s">
        <v>349</v>
      </c>
      <c r="K60" s="18" t="n">
        <v>1.72415346</v>
      </c>
      <c r="L60" s="20" t="n">
        <v>0.90514891</v>
      </c>
      <c r="M60" s="18" t="n">
        <v>0</v>
      </c>
      <c r="N60" s="20" t="n">
        <v>0</v>
      </c>
      <c r="O60" s="18" t="n">
        <v>3.38310939</v>
      </c>
      <c r="P60" s="20" t="n">
        <v>1.61547595</v>
      </c>
      <c r="Q60" s="18" t="n">
        <v>2.80038205</v>
      </c>
      <c r="R60" s="20" t="n">
        <v>0.96279777</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(2087.0/B63*100)</f>
        <v/>
      </c>
      <c r="D63" s="19" t="n">
        <v>424</v>
      </c>
      <c r="E63" s="18" t="n">
        <v>20.07475196</v>
      </c>
      <c r="F63" s="20" t="n">
        <v>2.19155869</v>
      </c>
      <c r="G63" s="18" t="n">
        <v>77.44237846</v>
      </c>
      <c r="H63" s="20" t="n">
        <v>2.16040397</v>
      </c>
      <c r="I63" s="18" t="s">
        <v>349</v>
      </c>
      <c r="J63" s="20" t="s">
        <v>349</v>
      </c>
      <c r="K63" s="18" t="n">
        <v>1.08100145</v>
      </c>
      <c r="L63" s="20" t="n">
        <v>0.54769668</v>
      </c>
      <c r="M63" s="18" t="n">
        <v>0</v>
      </c>
      <c r="N63" s="20" t="n">
        <v>0</v>
      </c>
      <c r="O63" s="18" t="n">
        <v>0.16187001</v>
      </c>
      <c r="P63" s="20" t="n">
        <v>0.16225282</v>
      </c>
      <c r="Q63" s="18" t="n">
        <v>1.23999812</v>
      </c>
      <c r="R63" s="20" t="n">
        <v>0.5399197999999999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(2201.0/B65*100)</f>
        <v/>
      </c>
      <c r="D65" s="19" t="n">
        <v>433</v>
      </c>
      <c r="E65" s="18" t="n">
        <v>13.38979041</v>
      </c>
      <c r="F65" s="20" t="n">
        <v>1.84365002</v>
      </c>
      <c r="G65" s="18" t="n">
        <v>84.99010266000001</v>
      </c>
      <c r="H65" s="20" t="n">
        <v>1.95934827</v>
      </c>
      <c r="I65" s="18" t="s">
        <v>349</v>
      </c>
      <c r="J65" s="20" t="s">
        <v>349</v>
      </c>
      <c r="K65" s="18" t="n">
        <v>0.84260493</v>
      </c>
      <c r="L65" s="20" t="n">
        <v>0.42842748</v>
      </c>
      <c r="M65" s="18" t="n">
        <v>0.37369849</v>
      </c>
      <c r="N65" s="20" t="n">
        <v>0.26696223</v>
      </c>
      <c r="O65" s="18" t="n">
        <v>0</v>
      </c>
      <c r="P65" s="20" t="n">
        <v>0</v>
      </c>
      <c r="Q65" s="18" t="n">
        <v>0.4038035</v>
      </c>
      <c r="R65" s="20" t="n">
        <v>0.28605599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(2064.0/B69*100)</f>
        <v/>
      </c>
      <c r="D69" s="19" t="n">
        <v>402</v>
      </c>
      <c r="E69" s="18" t="n">
        <v>31.66485848</v>
      </c>
      <c r="F69" s="20" t="n">
        <v>2.44403579</v>
      </c>
      <c r="G69" s="18" t="n">
        <v>68.33514151999999</v>
      </c>
      <c r="H69" s="20" t="n">
        <v>2.44403579</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(2027.0/B74*100)</f>
        <v/>
      </c>
      <c r="D74" s="19" t="n">
        <v>426</v>
      </c>
      <c r="E74" s="18" t="n">
        <v>18.86108749</v>
      </c>
      <c r="F74" s="20" t="n">
        <v>1.87517244</v>
      </c>
      <c r="G74" s="18" t="n">
        <v>77.08733345</v>
      </c>
      <c r="H74" s="20" t="n">
        <v>2.154196</v>
      </c>
      <c r="I74" s="18" t="s">
        <v>349</v>
      </c>
      <c r="J74" s="20" t="s">
        <v>349</v>
      </c>
      <c r="K74" s="18" t="n">
        <v>2.98458741</v>
      </c>
      <c r="L74" s="20" t="n">
        <v>1.00934589</v>
      </c>
      <c r="M74" s="18" t="n">
        <v>0</v>
      </c>
      <c r="N74" s="20" t="n">
        <v>0</v>
      </c>
      <c r="O74" s="18" t="n">
        <v>0</v>
      </c>
      <c r="P74" s="20" t="n">
        <v>0</v>
      </c>
      <c r="Q74" s="18" t="n">
        <v>1.06699165</v>
      </c>
      <c r="R74" s="20" t="n">
        <v>0.48074988</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(2542.0/B78*100)</f>
        <v/>
      </c>
      <c r="D78" s="19" t="n">
        <v>498</v>
      </c>
      <c r="E78" s="18" t="n">
        <v>0.9540685</v>
      </c>
      <c r="F78" s="20" t="n">
        <v>0.43833007</v>
      </c>
      <c r="G78" s="18" t="n">
        <v>99.04593149999999</v>
      </c>
      <c r="H78" s="20" t="n">
        <v>0.43833007</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(723.0/B79*100)</f>
        <v/>
      </c>
      <c r="D79" s="19" t="n">
        <v>147</v>
      </c>
      <c r="E79" s="18" t="n">
        <v>4.83771936</v>
      </c>
      <c r="F79" s="20" t="n">
        <v>1.41157392</v>
      </c>
      <c r="G79" s="18" t="n">
        <v>91.54374611999999</v>
      </c>
      <c r="H79" s="20" t="n">
        <v>2.37572171</v>
      </c>
      <c r="I79" s="18" t="s">
        <v>349</v>
      </c>
      <c r="J79" s="20" t="s">
        <v>349</v>
      </c>
      <c r="K79" s="18" t="n">
        <v>3.61853453</v>
      </c>
      <c r="L79" s="20" t="n">
        <v>1.6942073</v>
      </c>
      <c r="M79" s="18" t="n">
        <v>0</v>
      </c>
      <c r="N79" s="20" t="n">
        <v>0</v>
      </c>
      <c r="O79" s="18" t="n">
        <v>0</v>
      </c>
      <c r="P79" s="20" t="n">
        <v>0</v>
      </c>
      <c r="Q79" s="18" t="n">
        <v>0</v>
      </c>
      <c r="R79" s="20" t="n">
        <v>0</v>
      </c>
    </row>
    <row r="80" spans="1:18">
      <c r="A80" s="15" t="s">
        <v>422</v>
      </c>
      <c r="B80" s="17" t="n">
        <v>4043</v>
      </c>
      <c r="C80" s="18">
        <f>(3384.0/B80*100)</f>
        <v/>
      </c>
      <c r="D80" s="19" t="n">
        <v>659</v>
      </c>
      <c r="E80" s="18" t="n">
        <v>13.91508517</v>
      </c>
      <c r="F80" s="20" t="n">
        <v>1.92257988</v>
      </c>
      <c r="G80" s="18" t="n">
        <v>86.08491483</v>
      </c>
      <c r="H80" s="20" t="n">
        <v>1.92257988</v>
      </c>
      <c r="I80" s="18" t="s">
        <v>349</v>
      </c>
      <c r="J80" s="20" t="s">
        <v>349</v>
      </c>
      <c r="K80" s="18" t="n">
        <v>0</v>
      </c>
      <c r="L80" s="20" t="n">
        <v>0</v>
      </c>
      <c r="M80" s="18" t="n">
        <v>0</v>
      </c>
      <c r="N80" s="20" t="n">
        <v>0</v>
      </c>
      <c r="O80" s="18" t="n">
        <v>0</v>
      </c>
      <c r="P80" s="20" t="n">
        <v>0</v>
      </c>
      <c r="Q80" s="18" t="n">
        <v>0</v>
      </c>
      <c r="R80" s="20" t="n">
        <v>0</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(2228.0/B45*100)</f>
        <v/>
      </c>
      <c r="D45" s="19" t="n">
        <v>442</v>
      </c>
      <c r="E45" s="18" t="n">
        <v>39.6344648</v>
      </c>
      <c r="F45" s="20" t="n">
        <v>2.3383489</v>
      </c>
      <c r="G45" s="18" t="n">
        <v>48.46596818</v>
      </c>
      <c r="H45" s="20" t="n">
        <v>2.57226385</v>
      </c>
      <c r="I45" s="18" t="s">
        <v>349</v>
      </c>
      <c r="J45" s="20" t="s">
        <v>349</v>
      </c>
      <c r="K45" s="18" t="n">
        <v>2.70258045</v>
      </c>
      <c r="L45" s="20" t="n">
        <v>0.82506529</v>
      </c>
      <c r="M45" s="18" t="n">
        <v>0</v>
      </c>
      <c r="N45" s="20" t="n">
        <v>0</v>
      </c>
      <c r="O45" s="18" t="n">
        <v>0</v>
      </c>
      <c r="P45" s="20" t="n">
        <v>0</v>
      </c>
      <c r="Q45" s="18" t="n">
        <v>9.19698657</v>
      </c>
      <c r="R45" s="20" t="n">
        <v>1.56545867</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(2758.0/B49*100)</f>
        <v/>
      </c>
      <c r="D49" s="19" t="n">
        <v>573</v>
      </c>
      <c r="E49" s="18" t="n">
        <v>35.89559476</v>
      </c>
      <c r="F49" s="20" t="n">
        <v>2.59450028</v>
      </c>
      <c r="G49" s="18" t="n">
        <v>51.8922848</v>
      </c>
      <c r="H49" s="20" t="n">
        <v>2.77624126</v>
      </c>
      <c r="I49" s="18" t="s">
        <v>349</v>
      </c>
      <c r="J49" s="20" t="s">
        <v>349</v>
      </c>
      <c r="K49" s="18" t="n">
        <v>2.96873003</v>
      </c>
      <c r="L49" s="20" t="n">
        <v>0.65433386</v>
      </c>
      <c r="M49" s="18" t="n">
        <v>0.2258985</v>
      </c>
      <c r="N49" s="20" t="n">
        <v>0.22515838</v>
      </c>
      <c r="O49" s="18" t="n">
        <v>0</v>
      </c>
      <c r="P49" s="20" t="n">
        <v>0</v>
      </c>
      <c r="Q49" s="18" t="n">
        <v>9.01749191</v>
      </c>
      <c r="R49" s="20" t="n">
        <v>1.29561511</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(3103.0/B58*100)</f>
        <v/>
      </c>
      <c r="D58" s="19" t="n">
        <v>634</v>
      </c>
      <c r="E58" s="18" t="n">
        <v>52.21667568</v>
      </c>
      <c r="F58" s="20" t="n">
        <v>2.47227549</v>
      </c>
      <c r="G58" s="18" t="n">
        <v>42.22007675</v>
      </c>
      <c r="H58" s="20" t="n">
        <v>2.20586817</v>
      </c>
      <c r="I58" s="18" t="s">
        <v>349</v>
      </c>
      <c r="J58" s="20" t="s">
        <v>349</v>
      </c>
      <c r="K58" s="18" t="n">
        <v>2.29067123</v>
      </c>
      <c r="L58" s="20" t="n">
        <v>0.67154853</v>
      </c>
      <c r="M58" s="18" t="n">
        <v>0</v>
      </c>
      <c r="N58" s="20" t="n">
        <v>0</v>
      </c>
      <c r="O58" s="18" t="n">
        <v>0</v>
      </c>
      <c r="P58" s="20" t="n">
        <v>0</v>
      </c>
      <c r="Q58" s="18" t="n">
        <v>3.27257634</v>
      </c>
      <c r="R58" s="20" t="n">
        <v>0.7939436</v>
      </c>
    </row>
    <row r="59" spans="1:18">
      <c r="A59" s="15" t="s">
        <v>401</v>
      </c>
      <c r="B59" s="17" t="n">
        <v>2278</v>
      </c>
      <c r="C59" s="18">
        <f>(1893.0/B59*100)</f>
        <v/>
      </c>
      <c r="D59" s="19" t="n">
        <v>385</v>
      </c>
      <c r="E59" s="18" t="n">
        <v>42.3315262</v>
      </c>
      <c r="F59" s="20" t="n">
        <v>3.39695727</v>
      </c>
      <c r="G59" s="18" t="n">
        <v>48.40049256</v>
      </c>
      <c r="H59" s="20" t="n">
        <v>3.43816802</v>
      </c>
      <c r="I59" s="18" t="s">
        <v>349</v>
      </c>
      <c r="J59" s="20" t="s">
        <v>349</v>
      </c>
      <c r="K59" s="18" t="n">
        <v>0.22716348</v>
      </c>
      <c r="L59" s="20" t="n">
        <v>0.159812</v>
      </c>
      <c r="M59" s="18" t="n">
        <v>0</v>
      </c>
      <c r="N59" s="20" t="n">
        <v>0</v>
      </c>
      <c r="O59" s="18" t="n">
        <v>0</v>
      </c>
      <c r="P59" s="20" t="n">
        <v>0</v>
      </c>
      <c r="Q59" s="18" t="n">
        <v>9.04081775</v>
      </c>
      <c r="R59" s="20" t="n">
        <v>1.85394606</v>
      </c>
    </row>
    <row r="60" spans="1:18">
      <c r="A60" s="15" t="s">
        <v>402</v>
      </c>
      <c r="B60" s="17" t="n">
        <v>2451</v>
      </c>
      <c r="C60" s="18">
        <f>(2059.0/B60*100)</f>
        <v/>
      </c>
      <c r="D60" s="19" t="n">
        <v>392</v>
      </c>
      <c r="E60" s="18" t="n">
        <v>28.84616163</v>
      </c>
      <c r="F60" s="20" t="n">
        <v>2.51733849</v>
      </c>
      <c r="G60" s="18" t="n">
        <v>57.90281578</v>
      </c>
      <c r="H60" s="20" t="n">
        <v>2.88454178</v>
      </c>
      <c r="I60" s="18" t="s">
        <v>349</v>
      </c>
      <c r="J60" s="20" t="s">
        <v>349</v>
      </c>
      <c r="K60" s="18" t="n">
        <v>1.72415346</v>
      </c>
      <c r="L60" s="20" t="n">
        <v>0.90514891</v>
      </c>
      <c r="M60" s="18" t="n">
        <v>0</v>
      </c>
      <c r="N60" s="20" t="n">
        <v>0</v>
      </c>
      <c r="O60" s="18" t="n">
        <v>0</v>
      </c>
      <c r="P60" s="20" t="n">
        <v>0</v>
      </c>
      <c r="Q60" s="18" t="n">
        <v>11.52686912</v>
      </c>
      <c r="R60" s="20" t="n">
        <v>1.80740151</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(2087.0/B63*100)</f>
        <v/>
      </c>
      <c r="D63" s="19" t="n">
        <v>424</v>
      </c>
      <c r="E63" s="18" t="n">
        <v>30.98591606</v>
      </c>
      <c r="F63" s="20" t="n">
        <v>2.60093318</v>
      </c>
      <c r="G63" s="18" t="n">
        <v>47.56780479</v>
      </c>
      <c r="H63" s="20" t="n">
        <v>2.73253311</v>
      </c>
      <c r="I63" s="18" t="s">
        <v>349</v>
      </c>
      <c r="J63" s="20" t="s">
        <v>349</v>
      </c>
      <c r="K63" s="18" t="n">
        <v>1.83354431</v>
      </c>
      <c r="L63" s="20" t="n">
        <v>0.56334326</v>
      </c>
      <c r="M63" s="18" t="n">
        <v>0</v>
      </c>
      <c r="N63" s="20" t="n">
        <v>0</v>
      </c>
      <c r="O63" s="18" t="n">
        <v>0</v>
      </c>
      <c r="P63" s="20" t="n">
        <v>0</v>
      </c>
      <c r="Q63" s="18" t="n">
        <v>19.61273484</v>
      </c>
      <c r="R63" s="20" t="n">
        <v>2.18685716</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(2201.0/B65*100)</f>
        <v/>
      </c>
      <c r="D65" s="19" t="n">
        <v>433</v>
      </c>
      <c r="E65" s="18" t="n">
        <v>30.25354115</v>
      </c>
      <c r="F65" s="20" t="n">
        <v>2.42083833</v>
      </c>
      <c r="G65" s="18" t="n">
        <v>57.23496958</v>
      </c>
      <c r="H65" s="20" t="n">
        <v>2.5369712</v>
      </c>
      <c r="I65" s="18" t="s">
        <v>349</v>
      </c>
      <c r="J65" s="20" t="s">
        <v>349</v>
      </c>
      <c r="K65" s="18" t="n">
        <v>2.22017096</v>
      </c>
      <c r="L65" s="20" t="n">
        <v>0.81721472</v>
      </c>
      <c r="M65" s="18" t="n">
        <v>0</v>
      </c>
      <c r="N65" s="20" t="n">
        <v>0</v>
      </c>
      <c r="O65" s="18" t="n">
        <v>0</v>
      </c>
      <c r="P65" s="20" t="n">
        <v>0</v>
      </c>
      <c r="Q65" s="18" t="n">
        <v>10.29131831</v>
      </c>
      <c r="R65" s="20" t="n">
        <v>1.6892621</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(2064.0/B69*100)</f>
        <v/>
      </c>
      <c r="D69" s="19" t="n">
        <v>402</v>
      </c>
      <c r="E69" s="18" t="n">
        <v>49.0326952</v>
      </c>
      <c r="F69" s="20" t="n">
        <v>2.87889352</v>
      </c>
      <c r="G69" s="18" t="n">
        <v>50.9673048</v>
      </c>
      <c r="H69" s="20" t="n">
        <v>2.87889352</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(2027.0/B74*100)</f>
        <v/>
      </c>
      <c r="D74" s="19" t="n">
        <v>426</v>
      </c>
      <c r="E74" s="18" t="n">
        <v>27.43404226</v>
      </c>
      <c r="F74" s="20" t="n">
        <v>2.23747563</v>
      </c>
      <c r="G74" s="18" t="n">
        <v>61.47980847</v>
      </c>
      <c r="H74" s="20" t="n">
        <v>2.3009093</v>
      </c>
      <c r="I74" s="18" t="s">
        <v>349</v>
      </c>
      <c r="J74" s="20" t="s">
        <v>349</v>
      </c>
      <c r="K74" s="18" t="n">
        <v>3.86536693</v>
      </c>
      <c r="L74" s="20" t="n">
        <v>1.09376007</v>
      </c>
      <c r="M74" s="18" t="n">
        <v>0</v>
      </c>
      <c r="N74" s="20" t="n">
        <v>0</v>
      </c>
      <c r="O74" s="18" t="n">
        <v>0</v>
      </c>
      <c r="P74" s="20" t="n">
        <v>0</v>
      </c>
      <c r="Q74" s="18" t="n">
        <v>7.22078235</v>
      </c>
      <c r="R74" s="20" t="n">
        <v>1.19103102</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(2542.0/B78*100)</f>
        <v/>
      </c>
      <c r="D78" s="19" t="n">
        <v>498</v>
      </c>
      <c r="E78" s="18" t="n">
        <v>15.8889053</v>
      </c>
      <c r="F78" s="20" t="n">
        <v>1.95968107</v>
      </c>
      <c r="G78" s="18" t="n">
        <v>83.9373571</v>
      </c>
      <c r="H78" s="20" t="n">
        <v>1.96984518</v>
      </c>
      <c r="I78" s="18" t="s">
        <v>349</v>
      </c>
      <c r="J78" s="20" t="s">
        <v>349</v>
      </c>
      <c r="K78" s="18" t="n">
        <v>0</v>
      </c>
      <c r="L78" s="20" t="n">
        <v>0</v>
      </c>
      <c r="M78" s="18" t="n">
        <v>0</v>
      </c>
      <c r="N78" s="20" t="n">
        <v>0</v>
      </c>
      <c r="O78" s="18" t="n">
        <v>0</v>
      </c>
      <c r="P78" s="20" t="n">
        <v>0</v>
      </c>
      <c r="Q78" s="18" t="n">
        <v>0.1737376</v>
      </c>
      <c r="R78" s="20" t="n">
        <v>0.10996189</v>
      </c>
    </row>
    <row customHeight="1" ht="25" r="79" spans="1:18">
      <c r="A79" s="15" t="s">
        <v>421</v>
      </c>
      <c r="B79" s="17" t="n">
        <v>870</v>
      </c>
      <c r="C79" s="18">
        <f>(723.0/B79*100)</f>
        <v/>
      </c>
      <c r="D79" s="19" t="n">
        <v>147</v>
      </c>
      <c r="E79" s="18" t="n">
        <v>26.23966811</v>
      </c>
      <c r="F79" s="20" t="n">
        <v>3.91660667</v>
      </c>
      <c r="G79" s="18" t="n">
        <v>64.15803411</v>
      </c>
      <c r="H79" s="20" t="n">
        <v>4.7501941</v>
      </c>
      <c r="I79" s="18" t="s">
        <v>349</v>
      </c>
      <c r="J79" s="20" t="s">
        <v>349</v>
      </c>
      <c r="K79" s="18" t="n">
        <v>3.61853453</v>
      </c>
      <c r="L79" s="20" t="n">
        <v>1.6942073</v>
      </c>
      <c r="M79" s="18" t="n">
        <v>0</v>
      </c>
      <c r="N79" s="20" t="n">
        <v>0</v>
      </c>
      <c r="O79" s="18" t="n">
        <v>0</v>
      </c>
      <c r="P79" s="20" t="n">
        <v>0</v>
      </c>
      <c r="Q79" s="18" t="n">
        <v>5.98376326</v>
      </c>
      <c r="R79" s="20" t="n">
        <v>2.1843843</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(2228.0/B45*100)</f>
        <v/>
      </c>
      <c r="D45" s="19" t="n">
        <v>442</v>
      </c>
      <c r="E45" s="18" t="n">
        <v>77.51194963</v>
      </c>
      <c r="F45" s="20" t="n">
        <v>2.2186963</v>
      </c>
      <c r="G45" s="18" t="n">
        <v>5.34915158</v>
      </c>
      <c r="H45" s="20" t="n">
        <v>1.47458953</v>
      </c>
      <c r="I45" s="18" t="s">
        <v>349</v>
      </c>
      <c r="J45" s="20" t="s">
        <v>349</v>
      </c>
      <c r="K45" s="18" t="n">
        <v>3.10368603</v>
      </c>
      <c r="L45" s="20" t="n">
        <v>0.8808801000000001</v>
      </c>
      <c r="M45" s="18" t="n">
        <v>0</v>
      </c>
      <c r="N45" s="20" t="n">
        <v>0</v>
      </c>
      <c r="O45" s="18" t="n">
        <v>0</v>
      </c>
      <c r="P45" s="20" t="n">
        <v>0</v>
      </c>
      <c r="Q45" s="18" t="n">
        <v>14.03521275</v>
      </c>
      <c r="R45" s="20" t="n">
        <v>1.73340264</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(2758.0/B49*100)</f>
        <v/>
      </c>
      <c r="D49" s="19" t="n">
        <v>573</v>
      </c>
      <c r="E49" s="18" t="n">
        <v>82.38102357</v>
      </c>
      <c r="F49" s="20" t="n">
        <v>1.49003888</v>
      </c>
      <c r="G49" s="18" t="n">
        <v>5.46356923</v>
      </c>
      <c r="H49" s="20" t="n">
        <v>0.94864062</v>
      </c>
      <c r="I49" s="18" t="s">
        <v>349</v>
      </c>
      <c r="J49" s="20" t="s">
        <v>349</v>
      </c>
      <c r="K49" s="18" t="n">
        <v>3.00327235</v>
      </c>
      <c r="L49" s="20" t="n">
        <v>0.6559129299999999</v>
      </c>
      <c r="M49" s="18" t="n">
        <v>0.2258985</v>
      </c>
      <c r="N49" s="20" t="n">
        <v>0.22515838</v>
      </c>
      <c r="O49" s="18" t="n">
        <v>0</v>
      </c>
      <c r="P49" s="20" t="n">
        <v>0</v>
      </c>
      <c r="Q49" s="18" t="n">
        <v>8.926236360000001</v>
      </c>
      <c r="R49" s="20" t="n">
        <v>1.23488357</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(3103.0/B58*100)</f>
        <v/>
      </c>
      <c r="D58" s="19" t="n">
        <v>634</v>
      </c>
      <c r="E58" s="18" t="n">
        <v>88.80442496000001</v>
      </c>
      <c r="F58" s="20" t="n">
        <v>1.35569118</v>
      </c>
      <c r="G58" s="18" t="n">
        <v>5.96189447</v>
      </c>
      <c r="H58" s="20" t="n">
        <v>0.95239196</v>
      </c>
      <c r="I58" s="18" t="s">
        <v>349</v>
      </c>
      <c r="J58" s="20" t="s">
        <v>349</v>
      </c>
      <c r="K58" s="18" t="n">
        <v>2.64935254</v>
      </c>
      <c r="L58" s="20" t="n">
        <v>0.74592181</v>
      </c>
      <c r="M58" s="18" t="n">
        <v>0</v>
      </c>
      <c r="N58" s="20" t="n">
        <v>0</v>
      </c>
      <c r="O58" s="18" t="n">
        <v>0</v>
      </c>
      <c r="P58" s="20" t="n">
        <v>0</v>
      </c>
      <c r="Q58" s="18" t="n">
        <v>2.58432802</v>
      </c>
      <c r="R58" s="20" t="n">
        <v>0.6980994</v>
      </c>
    </row>
    <row r="59" spans="1:18">
      <c r="A59" s="15" t="s">
        <v>401</v>
      </c>
      <c r="B59" s="17" t="n">
        <v>2278</v>
      </c>
      <c r="C59" s="18">
        <f>(1893.0/B59*100)</f>
        <v/>
      </c>
      <c r="D59" s="19" t="n">
        <v>385</v>
      </c>
      <c r="E59" s="18" t="n">
        <v>85.77721428</v>
      </c>
      <c r="F59" s="20" t="n">
        <v>1.96963565</v>
      </c>
      <c r="G59" s="18" t="n">
        <v>1.18831685</v>
      </c>
      <c r="H59" s="20" t="n">
        <v>0.59314192</v>
      </c>
      <c r="I59" s="18" t="s">
        <v>349</v>
      </c>
      <c r="J59" s="20" t="s">
        <v>349</v>
      </c>
      <c r="K59" s="18" t="n">
        <v>0.59190372</v>
      </c>
      <c r="L59" s="20" t="n">
        <v>0.39857697</v>
      </c>
      <c r="M59" s="18" t="n">
        <v>0</v>
      </c>
      <c r="N59" s="20" t="n">
        <v>0</v>
      </c>
      <c r="O59" s="18" t="n">
        <v>0</v>
      </c>
      <c r="P59" s="20" t="n">
        <v>0</v>
      </c>
      <c r="Q59" s="18" t="n">
        <v>12.44256515</v>
      </c>
      <c r="R59" s="20" t="n">
        <v>1.88597972</v>
      </c>
    </row>
    <row r="60" spans="1:18">
      <c r="A60" s="15" t="s">
        <v>402</v>
      </c>
      <c r="B60" s="17" t="n">
        <v>2451</v>
      </c>
      <c r="C60" s="18">
        <f>(2059.0/B60*100)</f>
        <v/>
      </c>
      <c r="D60" s="19" t="n">
        <v>392</v>
      </c>
      <c r="E60" s="18" t="n">
        <v>73.49230831</v>
      </c>
      <c r="F60" s="20" t="n">
        <v>2.73962513</v>
      </c>
      <c r="G60" s="18" t="n">
        <v>8.32255206</v>
      </c>
      <c r="H60" s="20" t="n">
        <v>1.86021526</v>
      </c>
      <c r="I60" s="18" t="s">
        <v>349</v>
      </c>
      <c r="J60" s="20" t="s">
        <v>349</v>
      </c>
      <c r="K60" s="18" t="n">
        <v>1.80080222</v>
      </c>
      <c r="L60" s="20" t="n">
        <v>0.90955184</v>
      </c>
      <c r="M60" s="18" t="n">
        <v>0</v>
      </c>
      <c r="N60" s="20" t="n">
        <v>0</v>
      </c>
      <c r="O60" s="18" t="n">
        <v>0</v>
      </c>
      <c r="P60" s="20" t="n">
        <v>0</v>
      </c>
      <c r="Q60" s="18" t="n">
        <v>16.3843374</v>
      </c>
      <c r="R60" s="20" t="n">
        <v>2.33094743</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(2087.0/B63*100)</f>
        <v/>
      </c>
      <c r="D63" s="19" t="n">
        <v>424</v>
      </c>
      <c r="E63" s="18" t="n">
        <v>70.79618438</v>
      </c>
      <c r="F63" s="20" t="n">
        <v>2.31372658</v>
      </c>
      <c r="G63" s="18" t="n">
        <v>3.32400116</v>
      </c>
      <c r="H63" s="20" t="n">
        <v>0.93219006</v>
      </c>
      <c r="I63" s="18" t="s">
        <v>349</v>
      </c>
      <c r="J63" s="20" t="s">
        <v>349</v>
      </c>
      <c r="K63" s="18" t="n">
        <v>1.83354431</v>
      </c>
      <c r="L63" s="20" t="n">
        <v>0.56334326</v>
      </c>
      <c r="M63" s="18" t="n">
        <v>0</v>
      </c>
      <c r="N63" s="20" t="n">
        <v>0</v>
      </c>
      <c r="O63" s="18" t="n">
        <v>0</v>
      </c>
      <c r="P63" s="20" t="n">
        <v>0</v>
      </c>
      <c r="Q63" s="18" t="n">
        <v>24.04627015</v>
      </c>
      <c r="R63" s="20" t="n">
        <v>2.237906</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(2201.0/B65*100)</f>
        <v/>
      </c>
      <c r="D65" s="19" t="n">
        <v>433</v>
      </c>
      <c r="E65" s="18" t="n">
        <v>75.24022426000001</v>
      </c>
      <c r="F65" s="20" t="n">
        <v>2.5585437</v>
      </c>
      <c r="G65" s="18" t="n">
        <v>8.23972019</v>
      </c>
      <c r="H65" s="20" t="n">
        <v>1.60213621</v>
      </c>
      <c r="I65" s="18" t="s">
        <v>349</v>
      </c>
      <c r="J65" s="20" t="s">
        <v>349</v>
      </c>
      <c r="K65" s="18" t="n">
        <v>2.43797563</v>
      </c>
      <c r="L65" s="20" t="n">
        <v>0.84539652</v>
      </c>
      <c r="M65" s="18" t="n">
        <v>0</v>
      </c>
      <c r="N65" s="20" t="n">
        <v>0</v>
      </c>
      <c r="O65" s="18" t="n">
        <v>0</v>
      </c>
      <c r="P65" s="20" t="n">
        <v>0</v>
      </c>
      <c r="Q65" s="18" t="n">
        <v>14.08207992</v>
      </c>
      <c r="R65" s="20" t="n">
        <v>2.22550379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(2064.0/B69*100)</f>
        <v/>
      </c>
      <c r="D69" s="19" t="n">
        <v>402</v>
      </c>
      <c r="E69" s="18" t="n">
        <v>81.89353835999999</v>
      </c>
      <c r="F69" s="20" t="n">
        <v>2.03774782</v>
      </c>
      <c r="G69" s="18" t="n">
        <v>18.10646164</v>
      </c>
      <c r="H69" s="20" t="n">
        <v>2.03774782</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(2027.0/B74*100)</f>
        <v/>
      </c>
      <c r="D74" s="19" t="n">
        <v>426</v>
      </c>
      <c r="E74" s="18" t="n">
        <v>72.81095274</v>
      </c>
      <c r="F74" s="20" t="n">
        <v>2.21331098</v>
      </c>
      <c r="G74" s="18" t="n">
        <v>14.93581713</v>
      </c>
      <c r="H74" s="20" t="n">
        <v>2.08929732</v>
      </c>
      <c r="I74" s="18" t="s">
        <v>349</v>
      </c>
      <c r="J74" s="20" t="s">
        <v>349</v>
      </c>
      <c r="K74" s="18" t="n">
        <v>4.43814306</v>
      </c>
      <c r="L74" s="20" t="n">
        <v>1.10492423</v>
      </c>
      <c r="M74" s="18" t="n">
        <v>0</v>
      </c>
      <c r="N74" s="20" t="n">
        <v>0</v>
      </c>
      <c r="O74" s="18" t="n">
        <v>0</v>
      </c>
      <c r="P74" s="20" t="n">
        <v>0</v>
      </c>
      <c r="Q74" s="18" t="n">
        <v>7.81508707</v>
      </c>
      <c r="R74" s="20" t="n">
        <v>1.47482914</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(2542.0/B78*100)</f>
        <v/>
      </c>
      <c r="D78" s="19" t="n">
        <v>498</v>
      </c>
      <c r="E78" s="18" t="n">
        <v>89.30174258</v>
      </c>
      <c r="F78" s="20" t="n">
        <v>1.71327477</v>
      </c>
      <c r="G78" s="18" t="n">
        <v>10.12505392</v>
      </c>
      <c r="H78" s="20" t="n">
        <v>1.66697487</v>
      </c>
      <c r="I78" s="18" t="s">
        <v>349</v>
      </c>
      <c r="J78" s="20" t="s">
        <v>349</v>
      </c>
      <c r="K78" s="18" t="n">
        <v>0</v>
      </c>
      <c r="L78" s="20" t="n">
        <v>0</v>
      </c>
      <c r="M78" s="18" t="n">
        <v>0</v>
      </c>
      <c r="N78" s="20" t="n">
        <v>0</v>
      </c>
      <c r="O78" s="18" t="n">
        <v>0</v>
      </c>
      <c r="P78" s="20" t="n">
        <v>0</v>
      </c>
      <c r="Q78" s="18" t="n">
        <v>0.5732035</v>
      </c>
      <c r="R78" s="20" t="n">
        <v>0.35735575</v>
      </c>
    </row>
    <row customHeight="1" ht="25" r="79" spans="1:18">
      <c r="A79" s="15" t="s">
        <v>421</v>
      </c>
      <c r="B79" s="17" t="n">
        <v>870</v>
      </c>
      <c r="C79" s="18">
        <f>(723.0/B79*100)</f>
        <v/>
      </c>
      <c r="D79" s="19" t="n">
        <v>147</v>
      </c>
      <c r="E79" s="18" t="n">
        <v>74.57554645</v>
      </c>
      <c r="F79" s="20" t="n">
        <v>3.64973978</v>
      </c>
      <c r="G79" s="18" t="n">
        <v>17.34738394</v>
      </c>
      <c r="H79" s="20" t="n">
        <v>2.85224162</v>
      </c>
      <c r="I79" s="18" t="s">
        <v>349</v>
      </c>
      <c r="J79" s="20" t="s">
        <v>349</v>
      </c>
      <c r="K79" s="18" t="n">
        <v>4.05560525</v>
      </c>
      <c r="L79" s="20" t="n">
        <v>1.75461527</v>
      </c>
      <c r="M79" s="18" t="n">
        <v>0</v>
      </c>
      <c r="N79" s="20" t="n">
        <v>0</v>
      </c>
      <c r="O79" s="18" t="n">
        <v>0</v>
      </c>
      <c r="P79" s="20" t="n">
        <v>0</v>
      </c>
      <c r="Q79" s="18" t="n">
        <v>4.02146435</v>
      </c>
      <c r="R79" s="20" t="n">
        <v>1.72645024</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(2228.0/B45*100)</f>
        <v/>
      </c>
      <c r="D45" s="19" t="n">
        <v>442</v>
      </c>
      <c r="E45" s="18" t="n">
        <v>58.29149829</v>
      </c>
      <c r="F45" s="20" t="n">
        <v>2.63114539</v>
      </c>
      <c r="G45" s="18" t="n">
        <v>25.28646788</v>
      </c>
      <c r="H45" s="20" t="n">
        <v>2.34573677</v>
      </c>
      <c r="I45" s="18" t="s">
        <v>349</v>
      </c>
      <c r="J45" s="20" t="s">
        <v>349</v>
      </c>
      <c r="K45" s="18" t="n">
        <v>3.13563012</v>
      </c>
      <c r="L45" s="20" t="n">
        <v>0.88223808</v>
      </c>
      <c r="M45" s="18" t="n">
        <v>0</v>
      </c>
      <c r="N45" s="20" t="n">
        <v>0</v>
      </c>
      <c r="O45" s="18" t="n">
        <v>0</v>
      </c>
      <c r="P45" s="20" t="n">
        <v>0</v>
      </c>
      <c r="Q45" s="18" t="n">
        <v>13.2864037</v>
      </c>
      <c r="R45" s="20" t="n">
        <v>1.54885191</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(2758.0/B49*100)</f>
        <v/>
      </c>
      <c r="D49" s="19" t="n">
        <v>573</v>
      </c>
      <c r="E49" s="18" t="n">
        <v>51.81343091</v>
      </c>
      <c r="F49" s="20" t="n">
        <v>3.06789911</v>
      </c>
      <c r="G49" s="18" t="n">
        <v>25.32611662</v>
      </c>
      <c r="H49" s="20" t="n">
        <v>2.42523939</v>
      </c>
      <c r="I49" s="18" t="s">
        <v>349</v>
      </c>
      <c r="J49" s="20" t="s">
        <v>349</v>
      </c>
      <c r="K49" s="18" t="n">
        <v>3.52625068</v>
      </c>
      <c r="L49" s="20" t="n">
        <v>0.7328784699999999</v>
      </c>
      <c r="M49" s="18" t="n">
        <v>0</v>
      </c>
      <c r="N49" s="20" t="n">
        <v>0</v>
      </c>
      <c r="O49" s="18" t="n">
        <v>0</v>
      </c>
      <c r="P49" s="20" t="n">
        <v>0</v>
      </c>
      <c r="Q49" s="18" t="n">
        <v>19.3342018</v>
      </c>
      <c r="R49" s="20" t="n">
        <v>2.1016397</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(3103.0/B58*100)</f>
        <v/>
      </c>
      <c r="D58" s="19" t="n">
        <v>634</v>
      </c>
      <c r="E58" s="18" t="n">
        <v>0</v>
      </c>
      <c r="F58" s="20" t="n">
        <v>0</v>
      </c>
      <c r="G58" s="18" t="n">
        <v>0</v>
      </c>
      <c r="H58" s="20" t="n">
        <v>0</v>
      </c>
      <c r="I58" s="18" t="s">
        <v>349</v>
      </c>
      <c r="J58" s="20" t="s">
        <v>349</v>
      </c>
      <c r="K58" s="18" t="n">
        <v>0</v>
      </c>
      <c r="L58" s="20" t="n">
        <v>0</v>
      </c>
      <c r="M58" s="18" t="n">
        <v>100</v>
      </c>
      <c r="N58" s="20" t="n">
        <v>0</v>
      </c>
      <c r="O58" s="18" t="n">
        <v>0</v>
      </c>
      <c r="P58" s="20" t="n">
        <v>0</v>
      </c>
      <c r="Q58" s="18" t="n">
        <v>0</v>
      </c>
      <c r="R58" s="20" t="n">
        <v>0</v>
      </c>
    </row>
    <row r="59" spans="1:18">
      <c r="A59" s="15" t="s">
        <v>401</v>
      </c>
      <c r="B59" s="17" t="n">
        <v>2278</v>
      </c>
      <c r="C59" s="18">
        <f>(1893.0/B59*100)</f>
        <v/>
      </c>
      <c r="D59" s="19" t="n">
        <v>385</v>
      </c>
      <c r="E59" s="18" t="n">
        <v>62.3588988</v>
      </c>
      <c r="F59" s="20" t="n">
        <v>2.8707207</v>
      </c>
      <c r="G59" s="18" t="n">
        <v>27.86994658</v>
      </c>
      <c r="H59" s="20" t="n">
        <v>2.8471817</v>
      </c>
      <c r="I59" s="18" t="s">
        <v>349</v>
      </c>
      <c r="J59" s="20" t="s">
        <v>349</v>
      </c>
      <c r="K59" s="18" t="n">
        <v>0.9654395099999999</v>
      </c>
      <c r="L59" s="20" t="n">
        <v>0.49372574</v>
      </c>
      <c r="M59" s="18" t="n">
        <v>0</v>
      </c>
      <c r="N59" s="20" t="n">
        <v>0</v>
      </c>
      <c r="O59" s="18" t="n">
        <v>0</v>
      </c>
      <c r="P59" s="20" t="n">
        <v>0</v>
      </c>
      <c r="Q59" s="18" t="n">
        <v>8.80571511</v>
      </c>
      <c r="R59" s="20" t="n">
        <v>1.68354761</v>
      </c>
    </row>
    <row r="60" spans="1:18">
      <c r="A60" s="15" t="s">
        <v>402</v>
      </c>
      <c r="B60" s="17" t="n">
        <v>2451</v>
      </c>
      <c r="C60" s="18">
        <f>(2059.0/B60*100)</f>
        <v/>
      </c>
      <c r="D60" s="19" t="n">
        <v>392</v>
      </c>
      <c r="E60" s="18" t="n">
        <v>31.09071098</v>
      </c>
      <c r="F60" s="20" t="n">
        <v>2.4889705</v>
      </c>
      <c r="G60" s="18" t="n">
        <v>52.19850242</v>
      </c>
      <c r="H60" s="20" t="n">
        <v>2.8213867</v>
      </c>
      <c r="I60" s="18" t="s">
        <v>349</v>
      </c>
      <c r="J60" s="20" t="s">
        <v>349</v>
      </c>
      <c r="K60" s="18" t="n">
        <v>2.69473568</v>
      </c>
      <c r="L60" s="20" t="n">
        <v>0.96911451</v>
      </c>
      <c r="M60" s="18" t="n">
        <v>0</v>
      </c>
      <c r="N60" s="20" t="n">
        <v>0</v>
      </c>
      <c r="O60" s="18" t="n">
        <v>0</v>
      </c>
      <c r="P60" s="20" t="n">
        <v>0</v>
      </c>
      <c r="Q60" s="18" t="n">
        <v>14.01605092</v>
      </c>
      <c r="R60" s="20" t="n">
        <v>2.02067273</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(2087.0/B63*100)</f>
        <v/>
      </c>
      <c r="D63" s="19" t="n">
        <v>424</v>
      </c>
      <c r="E63" s="18" t="n">
        <v>32.98368416</v>
      </c>
      <c r="F63" s="20" t="n">
        <v>2.47481042</v>
      </c>
      <c r="G63" s="18" t="n">
        <v>40.41007998</v>
      </c>
      <c r="H63" s="20" t="n">
        <v>2.55648159</v>
      </c>
      <c r="I63" s="18" t="s">
        <v>349</v>
      </c>
      <c r="J63" s="20" t="s">
        <v>349</v>
      </c>
      <c r="K63" s="18" t="n">
        <v>2.44488712</v>
      </c>
      <c r="L63" s="20" t="n">
        <v>0.66723027</v>
      </c>
      <c r="M63" s="18" t="n">
        <v>0</v>
      </c>
      <c r="N63" s="20" t="n">
        <v>0</v>
      </c>
      <c r="O63" s="18" t="n">
        <v>0</v>
      </c>
      <c r="P63" s="20" t="n">
        <v>0</v>
      </c>
      <c r="Q63" s="18" t="n">
        <v>24.16134874</v>
      </c>
      <c r="R63" s="20" t="n">
        <v>2.31239728</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(2201.0/B65*100)</f>
        <v/>
      </c>
      <c r="D65" s="19" t="n">
        <v>433</v>
      </c>
      <c r="E65" s="18" t="n">
        <v>34.37622021</v>
      </c>
      <c r="F65" s="20" t="n">
        <v>2.60369765</v>
      </c>
      <c r="G65" s="18" t="n">
        <v>46.86239982</v>
      </c>
      <c r="H65" s="20" t="n">
        <v>2.55695013</v>
      </c>
      <c r="I65" s="18" t="s">
        <v>349</v>
      </c>
      <c r="J65" s="20" t="s">
        <v>349</v>
      </c>
      <c r="K65" s="18" t="n">
        <v>3.29337865</v>
      </c>
      <c r="L65" s="20" t="n">
        <v>0.92653151</v>
      </c>
      <c r="M65" s="18" t="n">
        <v>0</v>
      </c>
      <c r="N65" s="20" t="n">
        <v>0</v>
      </c>
      <c r="O65" s="18" t="n">
        <v>0</v>
      </c>
      <c r="P65" s="20" t="n">
        <v>0</v>
      </c>
      <c r="Q65" s="18" t="n">
        <v>15.46800132</v>
      </c>
      <c r="R65" s="20" t="n">
        <v>1.7640102</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(2064.0/B69*100)</f>
        <v/>
      </c>
      <c r="D69" s="19" t="n">
        <v>402</v>
      </c>
      <c r="E69" s="18" t="n">
        <v>48.42407766</v>
      </c>
      <c r="F69" s="20" t="n">
        <v>3.01729605</v>
      </c>
      <c r="G69" s="18" t="n">
        <v>51.57592234</v>
      </c>
      <c r="H69" s="20" t="n">
        <v>3.01729605</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(2027.0/B74*100)</f>
        <v/>
      </c>
      <c r="D74" s="19" t="n">
        <v>426</v>
      </c>
      <c r="E74" s="18" t="n">
        <v>38.37976199</v>
      </c>
      <c r="F74" s="20" t="n">
        <v>2.56524989</v>
      </c>
      <c r="G74" s="18" t="n">
        <v>37.61821059</v>
      </c>
      <c r="H74" s="20" t="n">
        <v>2.44432092</v>
      </c>
      <c r="I74" s="18" t="s">
        <v>349</v>
      </c>
      <c r="J74" s="20" t="s">
        <v>349</v>
      </c>
      <c r="K74" s="18" t="n">
        <v>6.23090102</v>
      </c>
      <c r="L74" s="20" t="n">
        <v>1.28751361</v>
      </c>
      <c r="M74" s="18" t="n">
        <v>0</v>
      </c>
      <c r="N74" s="20" t="n">
        <v>0</v>
      </c>
      <c r="O74" s="18" t="n">
        <v>0</v>
      </c>
      <c r="P74" s="20" t="n">
        <v>0</v>
      </c>
      <c r="Q74" s="18" t="n">
        <v>17.7711264</v>
      </c>
      <c r="R74" s="20" t="n">
        <v>2.3009608</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(2542.0/B78*100)</f>
        <v/>
      </c>
      <c r="D78" s="19" t="n">
        <v>498</v>
      </c>
      <c r="E78" s="18" t="n">
        <v>31.54322342</v>
      </c>
      <c r="F78" s="20" t="n">
        <v>2.65583613</v>
      </c>
      <c r="G78" s="18" t="n">
        <v>67.92417238</v>
      </c>
      <c r="H78" s="20" t="n">
        <v>2.69411459</v>
      </c>
      <c r="I78" s="18" t="s">
        <v>349</v>
      </c>
      <c r="J78" s="20" t="s">
        <v>349</v>
      </c>
      <c r="K78" s="18" t="n">
        <v>0</v>
      </c>
      <c r="L78" s="20" t="n">
        <v>0</v>
      </c>
      <c r="M78" s="18" t="n">
        <v>0</v>
      </c>
      <c r="N78" s="20" t="n">
        <v>0</v>
      </c>
      <c r="O78" s="18" t="n">
        <v>0</v>
      </c>
      <c r="P78" s="20" t="n">
        <v>0</v>
      </c>
      <c r="Q78" s="18" t="n">
        <v>0.53260421</v>
      </c>
      <c r="R78" s="20" t="n">
        <v>0.22844445</v>
      </c>
    </row>
    <row customHeight="1" ht="25" r="79" spans="1:18">
      <c r="A79" s="15" t="s">
        <v>421</v>
      </c>
      <c r="B79" s="17" t="n">
        <v>870</v>
      </c>
      <c r="C79" s="18">
        <f>(723.0/B79*100)</f>
        <v/>
      </c>
      <c r="D79" s="19" t="n">
        <v>147</v>
      </c>
      <c r="E79" s="18" t="n">
        <v>34.11041752</v>
      </c>
      <c r="F79" s="20" t="n">
        <v>6.15663793</v>
      </c>
      <c r="G79" s="18" t="n">
        <v>42.0167557</v>
      </c>
      <c r="H79" s="20" t="n">
        <v>5.28445446</v>
      </c>
      <c r="I79" s="18" t="s">
        <v>349</v>
      </c>
      <c r="J79" s="20" t="s">
        <v>349</v>
      </c>
      <c r="K79" s="18" t="n">
        <v>5.36228355</v>
      </c>
      <c r="L79" s="20" t="n">
        <v>2.00966129</v>
      </c>
      <c r="M79" s="18" t="n">
        <v>0</v>
      </c>
      <c r="N79" s="20" t="n">
        <v>0</v>
      </c>
      <c r="O79" s="18" t="n">
        <v>0</v>
      </c>
      <c r="P79" s="20" t="n">
        <v>0</v>
      </c>
      <c r="Q79" s="18" t="n">
        <v>18.51054323</v>
      </c>
      <c r="R79" s="20" t="n">
        <v>4.08181632</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609</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(2228.0/B45*100)</f>
        <v/>
      </c>
      <c r="D45" s="19" t="n">
        <v>442</v>
      </c>
      <c r="E45" s="18" t="n">
        <v>52.72445148</v>
      </c>
      <c r="F45" s="20" t="n">
        <v>2.48899705</v>
      </c>
      <c r="G45" s="18" t="n">
        <v>19.98631386</v>
      </c>
      <c r="H45" s="20" t="n">
        <v>1.98724247</v>
      </c>
      <c r="I45" s="18" t="s">
        <v>349</v>
      </c>
      <c r="J45" s="20" t="s">
        <v>349</v>
      </c>
      <c r="K45" s="18" t="n">
        <v>4.00971367</v>
      </c>
      <c r="L45" s="20" t="n">
        <v>0.91598477</v>
      </c>
      <c r="M45" s="18" t="n">
        <v>0.15605849</v>
      </c>
      <c r="N45" s="20" t="n">
        <v>0.15852514</v>
      </c>
      <c r="O45" s="18" t="n">
        <v>0</v>
      </c>
      <c r="P45" s="20" t="n">
        <v>0</v>
      </c>
      <c r="Q45" s="18" t="n">
        <v>23.1234625</v>
      </c>
      <c r="R45" s="20" t="n">
        <v>2.08683665</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(2758.0/B49*100)</f>
        <v/>
      </c>
      <c r="D49" s="19" t="n">
        <v>573</v>
      </c>
      <c r="E49" s="18" t="n">
        <v>43.05437151</v>
      </c>
      <c r="F49" s="20" t="n">
        <v>2.78316172</v>
      </c>
      <c r="G49" s="18" t="n">
        <v>20.15703139</v>
      </c>
      <c r="H49" s="20" t="n">
        <v>2.01480344</v>
      </c>
      <c r="I49" s="18" t="s">
        <v>349</v>
      </c>
      <c r="J49" s="20" t="s">
        <v>349</v>
      </c>
      <c r="K49" s="18" t="n">
        <v>4.28520542</v>
      </c>
      <c r="L49" s="20" t="n">
        <v>0.87348245</v>
      </c>
      <c r="M49" s="18" t="n">
        <v>0</v>
      </c>
      <c r="N49" s="20" t="n">
        <v>0</v>
      </c>
      <c r="O49" s="18" t="n">
        <v>0</v>
      </c>
      <c r="P49" s="20" t="n">
        <v>0</v>
      </c>
      <c r="Q49" s="18" t="n">
        <v>32.50339168</v>
      </c>
      <c r="R49" s="20" t="n">
        <v>2.5875686</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(3103.0/B58*100)</f>
        <v/>
      </c>
      <c r="D58" s="19" t="n">
        <v>634</v>
      </c>
      <c r="E58" s="18" t="n">
        <v>53.9695175</v>
      </c>
      <c r="F58" s="20" t="n">
        <v>2.52755856</v>
      </c>
      <c r="G58" s="18" t="n">
        <v>35.66993646</v>
      </c>
      <c r="H58" s="20" t="n">
        <v>2.59451113</v>
      </c>
      <c r="I58" s="18" t="s">
        <v>349</v>
      </c>
      <c r="J58" s="20" t="s">
        <v>349</v>
      </c>
      <c r="K58" s="18" t="n">
        <v>3.15736463</v>
      </c>
      <c r="L58" s="20" t="n">
        <v>0.80679925</v>
      </c>
      <c r="M58" s="18" t="n">
        <v>0</v>
      </c>
      <c r="N58" s="20" t="n">
        <v>0</v>
      </c>
      <c r="O58" s="18" t="n">
        <v>0</v>
      </c>
      <c r="P58" s="20" t="n">
        <v>0</v>
      </c>
      <c r="Q58" s="18" t="n">
        <v>7.2031814</v>
      </c>
      <c r="R58" s="20" t="n">
        <v>1.36992123</v>
      </c>
    </row>
    <row r="59" spans="1:18">
      <c r="A59" s="15" t="s">
        <v>401</v>
      </c>
      <c r="B59" s="17" t="n">
        <v>2278</v>
      </c>
      <c r="C59" s="18">
        <f>(1893.0/B59*100)</f>
        <v/>
      </c>
      <c r="D59" s="19" t="n">
        <v>385</v>
      </c>
      <c r="E59" s="18" t="n">
        <v>53.44074597</v>
      </c>
      <c r="F59" s="20" t="n">
        <v>2.95667932</v>
      </c>
      <c r="G59" s="18" t="n">
        <v>23.94909942</v>
      </c>
      <c r="H59" s="20" t="n">
        <v>2.6231229</v>
      </c>
      <c r="I59" s="18" t="s">
        <v>349</v>
      </c>
      <c r="J59" s="20" t="s">
        <v>349</v>
      </c>
      <c r="K59" s="18" t="n">
        <v>1.49852183</v>
      </c>
      <c r="L59" s="20" t="n">
        <v>0.72769425</v>
      </c>
      <c r="M59" s="18" t="n">
        <v>0</v>
      </c>
      <c r="N59" s="20" t="n">
        <v>0</v>
      </c>
      <c r="O59" s="18" t="n">
        <v>0</v>
      </c>
      <c r="P59" s="20" t="n">
        <v>0</v>
      </c>
      <c r="Q59" s="18" t="n">
        <v>21.11163279</v>
      </c>
      <c r="R59" s="20" t="n">
        <v>2.4561758</v>
      </c>
    </row>
    <row r="60" spans="1:18">
      <c r="A60" s="15" t="s">
        <v>402</v>
      </c>
      <c r="B60" s="17" t="n">
        <v>2451</v>
      </c>
      <c r="C60" s="18">
        <f>(2059.0/B60*100)</f>
        <v/>
      </c>
      <c r="D60" s="19" t="n">
        <v>392</v>
      </c>
      <c r="E60" s="18" t="n">
        <v>50.72523645</v>
      </c>
      <c r="F60" s="20" t="n">
        <v>3.1612242</v>
      </c>
      <c r="G60" s="18" t="n">
        <v>24.55886903</v>
      </c>
      <c r="H60" s="20" t="n">
        <v>2.61572418</v>
      </c>
      <c r="I60" s="18" t="s">
        <v>349</v>
      </c>
      <c r="J60" s="20" t="s">
        <v>349</v>
      </c>
      <c r="K60" s="18" t="n">
        <v>3.48985175</v>
      </c>
      <c r="L60" s="20" t="n">
        <v>1.07763302</v>
      </c>
      <c r="M60" s="18" t="n">
        <v>0</v>
      </c>
      <c r="N60" s="20" t="n">
        <v>0</v>
      </c>
      <c r="O60" s="18" t="n">
        <v>0</v>
      </c>
      <c r="P60" s="20" t="n">
        <v>0</v>
      </c>
      <c r="Q60" s="18" t="n">
        <v>21.22604277</v>
      </c>
      <c r="R60" s="20" t="n">
        <v>2.06725068</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(2087.0/B63*100)</f>
        <v/>
      </c>
      <c r="D63" s="19" t="n">
        <v>424</v>
      </c>
      <c r="E63" s="18" t="n">
        <v>38.79910958</v>
      </c>
      <c r="F63" s="20" t="n">
        <v>2.68103476</v>
      </c>
      <c r="G63" s="18" t="n">
        <v>25.94773401</v>
      </c>
      <c r="H63" s="20" t="n">
        <v>2.21573944</v>
      </c>
      <c r="I63" s="18" t="s">
        <v>349</v>
      </c>
      <c r="J63" s="20" t="s">
        <v>349</v>
      </c>
      <c r="K63" s="18" t="n">
        <v>2.71971339</v>
      </c>
      <c r="L63" s="20" t="n">
        <v>0.71443142</v>
      </c>
      <c r="M63" s="18" t="n">
        <v>0</v>
      </c>
      <c r="N63" s="20" t="n">
        <v>0</v>
      </c>
      <c r="O63" s="18" t="n">
        <v>0</v>
      </c>
      <c r="P63" s="20" t="n">
        <v>0</v>
      </c>
      <c r="Q63" s="18" t="n">
        <v>32.53344302</v>
      </c>
      <c r="R63" s="20" t="n">
        <v>2.46902809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(2201.0/B65*100)</f>
        <v/>
      </c>
      <c r="D65" s="19" t="n">
        <v>433</v>
      </c>
      <c r="E65" s="18" t="n">
        <v>28.0711906</v>
      </c>
      <c r="F65" s="20" t="n">
        <v>2.28738686</v>
      </c>
      <c r="G65" s="18" t="n">
        <v>38.29774457</v>
      </c>
      <c r="H65" s="20" t="n">
        <v>2.72316898</v>
      </c>
      <c r="I65" s="18" t="s">
        <v>349</v>
      </c>
      <c r="J65" s="20" t="s">
        <v>349</v>
      </c>
      <c r="K65" s="18" t="n">
        <v>3.48136565</v>
      </c>
      <c r="L65" s="20" t="n">
        <v>0.94009225</v>
      </c>
      <c r="M65" s="18" t="n">
        <v>0</v>
      </c>
      <c r="N65" s="20" t="n">
        <v>0</v>
      </c>
      <c r="O65" s="18" t="n">
        <v>0</v>
      </c>
      <c r="P65" s="20" t="n">
        <v>0</v>
      </c>
      <c r="Q65" s="18" t="n">
        <v>30.14969918</v>
      </c>
      <c r="R65" s="20" t="n">
        <v>2.47125749</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(2064.0/B69*100)</f>
        <v/>
      </c>
      <c r="D69" s="19" t="n">
        <v>402</v>
      </c>
      <c r="E69" s="18" t="n">
        <v>52.74611835</v>
      </c>
      <c r="F69" s="20" t="n">
        <v>2.9496851</v>
      </c>
      <c r="G69" s="18" t="n">
        <v>47.25388165</v>
      </c>
      <c r="H69" s="20" t="n">
        <v>2.9496851</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(2027.0/B74*100)</f>
        <v/>
      </c>
      <c r="D74" s="19" t="n">
        <v>426</v>
      </c>
      <c r="E74" s="18" t="n">
        <v>42.56244973</v>
      </c>
      <c r="F74" s="20" t="n">
        <v>2.46218129</v>
      </c>
      <c r="G74" s="18" t="n">
        <v>28.10830036</v>
      </c>
      <c r="H74" s="20" t="n">
        <v>2.40958102</v>
      </c>
      <c r="I74" s="18" t="s">
        <v>349</v>
      </c>
      <c r="J74" s="20" t="s">
        <v>349</v>
      </c>
      <c r="K74" s="18" t="n">
        <v>6.46460794</v>
      </c>
      <c r="L74" s="20" t="n">
        <v>1.31972511</v>
      </c>
      <c r="M74" s="18" t="n">
        <v>0</v>
      </c>
      <c r="N74" s="20" t="n">
        <v>0</v>
      </c>
      <c r="O74" s="18" t="n">
        <v>0</v>
      </c>
      <c r="P74" s="20" t="n">
        <v>0</v>
      </c>
      <c r="Q74" s="18" t="n">
        <v>22.86464197</v>
      </c>
      <c r="R74" s="20" t="n">
        <v>2.14621382</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(2542.0/B78*100)</f>
        <v/>
      </c>
      <c r="D78" s="19" t="n">
        <v>498</v>
      </c>
      <c r="E78" s="18" t="n">
        <v>42.58253666</v>
      </c>
      <c r="F78" s="20" t="n">
        <v>2.62649974</v>
      </c>
      <c r="G78" s="18" t="n">
        <v>56.35505848</v>
      </c>
      <c r="H78" s="20" t="n">
        <v>2.68641696</v>
      </c>
      <c r="I78" s="18" t="s">
        <v>349</v>
      </c>
      <c r="J78" s="20" t="s">
        <v>349</v>
      </c>
      <c r="K78" s="18" t="n">
        <v>0</v>
      </c>
      <c r="L78" s="20" t="n">
        <v>0</v>
      </c>
      <c r="M78" s="18" t="n">
        <v>0</v>
      </c>
      <c r="N78" s="20" t="n">
        <v>0</v>
      </c>
      <c r="O78" s="18" t="n">
        <v>0</v>
      </c>
      <c r="P78" s="20" t="n">
        <v>0</v>
      </c>
      <c r="Q78" s="18" t="n">
        <v>1.06240486</v>
      </c>
      <c r="R78" s="20" t="n">
        <v>0.39675358</v>
      </c>
    </row>
    <row customHeight="1" ht="25" r="79" spans="1:18">
      <c r="A79" s="15" t="s">
        <v>421</v>
      </c>
      <c r="B79" s="17" t="n">
        <v>870</v>
      </c>
      <c r="C79" s="18">
        <f>(723.0/B79*100)</f>
        <v/>
      </c>
      <c r="D79" s="19" t="n">
        <v>147</v>
      </c>
      <c r="E79" s="18" t="n">
        <v>31.98132304</v>
      </c>
      <c r="F79" s="20" t="n">
        <v>4.26239072</v>
      </c>
      <c r="G79" s="18" t="n">
        <v>35.67495034</v>
      </c>
      <c r="H79" s="20" t="n">
        <v>5.53451706</v>
      </c>
      <c r="I79" s="18" t="s">
        <v>349</v>
      </c>
      <c r="J79" s="20" t="s">
        <v>349</v>
      </c>
      <c r="K79" s="18" t="n">
        <v>6.1654454</v>
      </c>
      <c r="L79" s="20" t="n">
        <v>1.9726936</v>
      </c>
      <c r="M79" s="18" t="n">
        <v>0</v>
      </c>
      <c r="N79" s="20" t="n">
        <v>0</v>
      </c>
      <c r="O79" s="18" t="n">
        <v>0</v>
      </c>
      <c r="P79" s="20" t="n">
        <v>0</v>
      </c>
      <c r="Q79" s="18" t="n">
        <v>26.17828122</v>
      </c>
      <c r="R79" s="20" t="n">
        <v>4.12801701</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(2228.0/B45*100)</f>
        <v/>
      </c>
      <c r="D45" s="19" t="n">
        <v>442</v>
      </c>
      <c r="E45" s="18" t="n">
        <v>59.48148881</v>
      </c>
      <c r="F45" s="20" t="n">
        <v>2.3791411</v>
      </c>
      <c r="G45" s="18" t="n">
        <v>15.15139449</v>
      </c>
      <c r="H45" s="20" t="n">
        <v>1.48418326</v>
      </c>
      <c r="I45" s="18" t="s">
        <v>349</v>
      </c>
      <c r="J45" s="20" t="s">
        <v>349</v>
      </c>
      <c r="K45" s="18" t="n">
        <v>4.71166819</v>
      </c>
      <c r="L45" s="20" t="n">
        <v>1.01686389</v>
      </c>
      <c r="M45" s="18" t="n">
        <v>0.42537778</v>
      </c>
      <c r="N45" s="20" t="n">
        <v>0.31718913</v>
      </c>
      <c r="O45" s="18" t="n">
        <v>0</v>
      </c>
      <c r="P45" s="20" t="n">
        <v>0</v>
      </c>
      <c r="Q45" s="18" t="n">
        <v>20.23007073</v>
      </c>
      <c r="R45" s="20" t="n">
        <v>1.9664734</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(2758.0/B49*100)</f>
        <v/>
      </c>
      <c r="D49" s="19" t="n">
        <v>573</v>
      </c>
      <c r="E49" s="18" t="n">
        <v>68.52831888</v>
      </c>
      <c r="F49" s="20" t="n">
        <v>2.3965479</v>
      </c>
      <c r="G49" s="18" t="n">
        <v>5.97210503</v>
      </c>
      <c r="H49" s="20" t="n">
        <v>1.01328227</v>
      </c>
      <c r="I49" s="18" t="s">
        <v>349</v>
      </c>
      <c r="J49" s="20" t="s">
        <v>349</v>
      </c>
      <c r="K49" s="18" t="n">
        <v>4.43799541</v>
      </c>
      <c r="L49" s="20" t="n">
        <v>0.88537648</v>
      </c>
      <c r="M49" s="18" t="n">
        <v>0.2258985</v>
      </c>
      <c r="N49" s="20" t="n">
        <v>0.22515838</v>
      </c>
      <c r="O49" s="18" t="n">
        <v>0</v>
      </c>
      <c r="P49" s="20" t="n">
        <v>0</v>
      </c>
      <c r="Q49" s="18" t="n">
        <v>20.83568219</v>
      </c>
      <c r="R49" s="20" t="n">
        <v>1.9646302</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(3103.0/B58*100)</f>
        <v/>
      </c>
      <c r="D58" s="19" t="n">
        <v>634</v>
      </c>
      <c r="E58" s="18" t="n">
        <v>82.55719676</v>
      </c>
      <c r="F58" s="20" t="n">
        <v>2.05589914</v>
      </c>
      <c r="G58" s="18" t="n">
        <v>1.85121945</v>
      </c>
      <c r="H58" s="20" t="n">
        <v>0.66661612</v>
      </c>
      <c r="I58" s="18" t="s">
        <v>349</v>
      </c>
      <c r="J58" s="20" t="s">
        <v>349</v>
      </c>
      <c r="K58" s="18" t="n">
        <v>3.5867545</v>
      </c>
      <c r="L58" s="20" t="n">
        <v>0.85894031</v>
      </c>
      <c r="M58" s="18" t="n">
        <v>0</v>
      </c>
      <c r="N58" s="20" t="n">
        <v>0</v>
      </c>
      <c r="O58" s="18" t="n">
        <v>0</v>
      </c>
      <c r="P58" s="20" t="n">
        <v>0</v>
      </c>
      <c r="Q58" s="18" t="n">
        <v>12.00482929</v>
      </c>
      <c r="R58" s="20" t="n">
        <v>1.67972549</v>
      </c>
    </row>
    <row r="59" spans="1:18">
      <c r="A59" s="15" t="s">
        <v>401</v>
      </c>
      <c r="B59" s="17" t="n">
        <v>2278</v>
      </c>
      <c r="C59" s="18">
        <f>(1893.0/B59*100)</f>
        <v/>
      </c>
      <c r="D59" s="19" t="n">
        <v>385</v>
      </c>
      <c r="E59" s="18" t="n">
        <v>75.77048256</v>
      </c>
      <c r="F59" s="20" t="n">
        <v>2.62691103</v>
      </c>
      <c r="G59" s="18" t="n">
        <v>1.16594239</v>
      </c>
      <c r="H59" s="20" t="n">
        <v>0.64675231</v>
      </c>
      <c r="I59" s="18" t="s">
        <v>349</v>
      </c>
      <c r="J59" s="20" t="s">
        <v>349</v>
      </c>
      <c r="K59" s="18" t="n">
        <v>1.49852183</v>
      </c>
      <c r="L59" s="20" t="n">
        <v>0.72769425</v>
      </c>
      <c r="M59" s="18" t="n">
        <v>0</v>
      </c>
      <c r="N59" s="20" t="n">
        <v>0</v>
      </c>
      <c r="O59" s="18" t="n">
        <v>0</v>
      </c>
      <c r="P59" s="20" t="n">
        <v>0</v>
      </c>
      <c r="Q59" s="18" t="n">
        <v>21.56505322</v>
      </c>
      <c r="R59" s="20" t="n">
        <v>2.61601372</v>
      </c>
    </row>
    <row r="60" spans="1:18">
      <c r="A60" s="15" t="s">
        <v>402</v>
      </c>
      <c r="B60" s="17" t="n">
        <v>2451</v>
      </c>
      <c r="C60" s="18">
        <f>(2059.0/B60*100)</f>
        <v/>
      </c>
      <c r="D60" s="19" t="n">
        <v>392</v>
      </c>
      <c r="E60" s="18" t="n">
        <v>62.31063679</v>
      </c>
      <c r="F60" s="20" t="n">
        <v>2.90187466</v>
      </c>
      <c r="G60" s="18" t="n">
        <v>3.41511594</v>
      </c>
      <c r="H60" s="20" t="n">
        <v>0.95221053</v>
      </c>
      <c r="I60" s="18" t="s">
        <v>349</v>
      </c>
      <c r="J60" s="20" t="s">
        <v>349</v>
      </c>
      <c r="K60" s="18" t="n">
        <v>4.35997483</v>
      </c>
      <c r="L60" s="20" t="n">
        <v>1.19628327</v>
      </c>
      <c r="M60" s="18" t="n">
        <v>0</v>
      </c>
      <c r="N60" s="20" t="n">
        <v>0</v>
      </c>
      <c r="O60" s="18" t="n">
        <v>0</v>
      </c>
      <c r="P60" s="20" t="n">
        <v>0</v>
      </c>
      <c r="Q60" s="18" t="n">
        <v>29.91427243</v>
      </c>
      <c r="R60" s="20" t="n">
        <v>2.73887105</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(2087.0/B63*100)</f>
        <v/>
      </c>
      <c r="D63" s="19" t="n">
        <v>424</v>
      </c>
      <c r="E63" s="18" t="n">
        <v>55.28554663</v>
      </c>
      <c r="F63" s="20" t="n">
        <v>2.14874414</v>
      </c>
      <c r="G63" s="18" t="n">
        <v>3.23661294</v>
      </c>
      <c r="H63" s="20" t="n">
        <v>0.9978397</v>
      </c>
      <c r="I63" s="18" t="s">
        <v>349</v>
      </c>
      <c r="J63" s="20" t="s">
        <v>349</v>
      </c>
      <c r="K63" s="18" t="n">
        <v>3.36695253</v>
      </c>
      <c r="L63" s="20" t="n">
        <v>0.75136777</v>
      </c>
      <c r="M63" s="18" t="n">
        <v>0</v>
      </c>
      <c r="N63" s="20" t="n">
        <v>0</v>
      </c>
      <c r="O63" s="18" t="n">
        <v>0</v>
      </c>
      <c r="P63" s="20" t="n">
        <v>0</v>
      </c>
      <c r="Q63" s="18" t="n">
        <v>38.1108879</v>
      </c>
      <c r="R63" s="20" t="n">
        <v>2.23892011</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(2201.0/B65*100)</f>
        <v/>
      </c>
      <c r="D65" s="19" t="n">
        <v>433</v>
      </c>
      <c r="E65" s="18" t="n">
        <v>64.40173261</v>
      </c>
      <c r="F65" s="20" t="n">
        <v>2.29563244</v>
      </c>
      <c r="G65" s="18" t="n">
        <v>4.7686799</v>
      </c>
      <c r="H65" s="20" t="n">
        <v>0.92831405</v>
      </c>
      <c r="I65" s="18" t="s">
        <v>349</v>
      </c>
      <c r="J65" s="20" t="s">
        <v>349</v>
      </c>
      <c r="K65" s="18" t="n">
        <v>4.12403427</v>
      </c>
      <c r="L65" s="20" t="n">
        <v>1.00077879</v>
      </c>
      <c r="M65" s="18" t="n">
        <v>0</v>
      </c>
      <c r="N65" s="20" t="n">
        <v>0</v>
      </c>
      <c r="O65" s="18" t="n">
        <v>0</v>
      </c>
      <c r="P65" s="20" t="n">
        <v>0</v>
      </c>
      <c r="Q65" s="18" t="n">
        <v>26.70555322</v>
      </c>
      <c r="R65" s="20" t="n">
        <v>2.25614216</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(2064.0/B69*100)</f>
        <v/>
      </c>
      <c r="D69" s="19" t="n">
        <v>402</v>
      </c>
      <c r="E69" s="18" t="n">
        <v>74.6721637</v>
      </c>
      <c r="F69" s="20" t="n">
        <v>1.88387573</v>
      </c>
      <c r="G69" s="18" t="n">
        <v>25.3278363</v>
      </c>
      <c r="H69" s="20" t="n">
        <v>1.88387573</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(2027.0/B74*100)</f>
        <v/>
      </c>
      <c r="D74" s="19" t="n">
        <v>426</v>
      </c>
      <c r="E74" s="18" t="n">
        <v>80.12096296999999</v>
      </c>
      <c r="F74" s="20" t="n">
        <v>2.13780295</v>
      </c>
      <c r="G74" s="18" t="n">
        <v>0.9415459</v>
      </c>
      <c r="H74" s="20" t="n">
        <v>0.48883766</v>
      </c>
      <c r="I74" s="18" t="s">
        <v>349</v>
      </c>
      <c r="J74" s="20" t="s">
        <v>349</v>
      </c>
      <c r="K74" s="18" t="n">
        <v>6.66237005</v>
      </c>
      <c r="L74" s="20" t="n">
        <v>1.35127391</v>
      </c>
      <c r="M74" s="18" t="n">
        <v>0</v>
      </c>
      <c r="N74" s="20" t="n">
        <v>0</v>
      </c>
      <c r="O74" s="18" t="n">
        <v>0</v>
      </c>
      <c r="P74" s="20" t="n">
        <v>0</v>
      </c>
      <c r="Q74" s="18" t="n">
        <v>12.27512107</v>
      </c>
      <c r="R74" s="20" t="n">
        <v>1.84430389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(2542.0/B78*100)</f>
        <v/>
      </c>
      <c r="D78" s="19" t="n">
        <v>498</v>
      </c>
      <c r="E78" s="18" t="n">
        <v>85.45668517999999</v>
      </c>
      <c r="F78" s="20" t="n">
        <v>1.73460775</v>
      </c>
      <c r="G78" s="18" t="n">
        <v>12.50040098</v>
      </c>
      <c r="H78" s="20" t="n">
        <v>1.71050939</v>
      </c>
      <c r="I78" s="18" t="s">
        <v>349</v>
      </c>
      <c r="J78" s="20" t="s">
        <v>349</v>
      </c>
      <c r="K78" s="18" t="n">
        <v>0</v>
      </c>
      <c r="L78" s="20" t="n">
        <v>0</v>
      </c>
      <c r="M78" s="18" t="n">
        <v>0</v>
      </c>
      <c r="N78" s="20" t="n">
        <v>0</v>
      </c>
      <c r="O78" s="18" t="n">
        <v>0</v>
      </c>
      <c r="P78" s="20" t="n">
        <v>0</v>
      </c>
      <c r="Q78" s="18" t="n">
        <v>2.04291384</v>
      </c>
      <c r="R78" s="20" t="n">
        <v>0.71659089</v>
      </c>
    </row>
    <row customHeight="1" ht="25" r="79" spans="1:18">
      <c r="A79" s="15" t="s">
        <v>421</v>
      </c>
      <c r="B79" s="17" t="n">
        <v>870</v>
      </c>
      <c r="C79" s="18">
        <f>(723.0/B79*100)</f>
        <v/>
      </c>
      <c r="D79" s="19" t="n">
        <v>147</v>
      </c>
      <c r="E79" s="18" t="n">
        <v>67.10787655</v>
      </c>
      <c r="F79" s="20" t="n">
        <v>4.12903738</v>
      </c>
      <c r="G79" s="18" t="n">
        <v>9.749379129999999</v>
      </c>
      <c r="H79" s="20" t="n">
        <v>2.69145751</v>
      </c>
      <c r="I79" s="18" t="s">
        <v>349</v>
      </c>
      <c r="J79" s="20" t="s">
        <v>349</v>
      </c>
      <c r="K79" s="18" t="n">
        <v>6.1654454</v>
      </c>
      <c r="L79" s="20" t="n">
        <v>1.9726936</v>
      </c>
      <c r="M79" s="18" t="n">
        <v>0</v>
      </c>
      <c r="N79" s="20" t="n">
        <v>0</v>
      </c>
      <c r="O79" s="18" t="n">
        <v>0</v>
      </c>
      <c r="P79" s="20" t="n">
        <v>0</v>
      </c>
      <c r="Q79" s="18" t="n">
        <v>16.97729892</v>
      </c>
      <c r="R79" s="20" t="n">
        <v>3.93528808</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(2228.0/B45*100)</f>
        <v/>
      </c>
      <c r="D45" s="19" t="n">
        <v>442</v>
      </c>
      <c r="E45" s="18" t="n">
        <v>45.08422997</v>
      </c>
      <c r="F45" s="20" t="n">
        <v>2.54733946</v>
      </c>
      <c r="G45" s="18" t="n">
        <v>18.14875</v>
      </c>
      <c r="H45" s="20" t="n">
        <v>1.6512803</v>
      </c>
      <c r="I45" s="18" t="s">
        <v>349</v>
      </c>
      <c r="J45" s="20" t="s">
        <v>349</v>
      </c>
      <c r="K45" s="18" t="n">
        <v>5.05395021</v>
      </c>
      <c r="L45" s="20" t="n">
        <v>1.06002833</v>
      </c>
      <c r="M45" s="18" t="n">
        <v>1.88956397</v>
      </c>
      <c r="N45" s="20" t="n">
        <v>0.56885679</v>
      </c>
      <c r="O45" s="18" t="n">
        <v>0.21789935</v>
      </c>
      <c r="P45" s="20" t="n">
        <v>0.16668022</v>
      </c>
      <c r="Q45" s="18" t="n">
        <v>29.6056065</v>
      </c>
      <c r="R45" s="20" t="n">
        <v>2.39611304</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(2758.0/B49*100)</f>
        <v/>
      </c>
      <c r="D49" s="19" t="n">
        <v>573</v>
      </c>
      <c r="E49" s="18" t="n">
        <v>46.7475957</v>
      </c>
      <c r="F49" s="20" t="n">
        <v>2.31655177</v>
      </c>
      <c r="G49" s="18" t="n">
        <v>36.47200891</v>
      </c>
      <c r="H49" s="20" t="n">
        <v>2.20053287</v>
      </c>
      <c r="I49" s="18" t="s">
        <v>349</v>
      </c>
      <c r="J49" s="20" t="s">
        <v>349</v>
      </c>
      <c r="K49" s="18" t="n">
        <v>4.46179422</v>
      </c>
      <c r="L49" s="20" t="n">
        <v>0.88677278</v>
      </c>
      <c r="M49" s="18" t="n">
        <v>0.2258985</v>
      </c>
      <c r="N49" s="20" t="n">
        <v>0.22515838</v>
      </c>
      <c r="O49" s="18" t="n">
        <v>0.02379881</v>
      </c>
      <c r="P49" s="20" t="n">
        <v>0.02292321</v>
      </c>
      <c r="Q49" s="18" t="n">
        <v>12.06890386</v>
      </c>
      <c r="R49" s="20" t="n">
        <v>1.61056485</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(3103.0/B58*100)</f>
        <v/>
      </c>
      <c r="D58" s="19" t="n">
        <v>634</v>
      </c>
      <c r="E58" s="18" t="n">
        <v>51.7842101</v>
      </c>
      <c r="F58" s="20" t="n">
        <v>2.50032216</v>
      </c>
      <c r="G58" s="18" t="n">
        <v>35.64796964</v>
      </c>
      <c r="H58" s="20" t="n">
        <v>2.60616301</v>
      </c>
      <c r="I58" s="18" t="s">
        <v>349</v>
      </c>
      <c r="J58" s="20" t="s">
        <v>349</v>
      </c>
      <c r="K58" s="18" t="n">
        <v>3.80508227</v>
      </c>
      <c r="L58" s="20" t="n">
        <v>0.88236931</v>
      </c>
      <c r="M58" s="18" t="n">
        <v>0</v>
      </c>
      <c r="N58" s="20" t="n">
        <v>0</v>
      </c>
      <c r="O58" s="18" t="n">
        <v>0.97225724</v>
      </c>
      <c r="P58" s="20" t="n">
        <v>0.41540377</v>
      </c>
      <c r="Q58" s="18" t="n">
        <v>7.79048076</v>
      </c>
      <c r="R58" s="20" t="n">
        <v>1.28575009</v>
      </c>
    </row>
    <row r="59" spans="1:18">
      <c r="A59" s="15" t="s">
        <v>401</v>
      </c>
      <c r="B59" s="17" t="n">
        <v>2278</v>
      </c>
      <c r="C59" s="18">
        <f>(1893.0/B59*100)</f>
        <v/>
      </c>
      <c r="D59" s="19" t="n">
        <v>385</v>
      </c>
      <c r="E59" s="18" t="n">
        <v>48.32029162</v>
      </c>
      <c r="F59" s="20" t="n">
        <v>3.24482807</v>
      </c>
      <c r="G59" s="18" t="n">
        <v>26.74005316</v>
      </c>
      <c r="H59" s="20" t="n">
        <v>2.70852584</v>
      </c>
      <c r="I59" s="18" t="s">
        <v>349</v>
      </c>
      <c r="J59" s="20" t="s">
        <v>349</v>
      </c>
      <c r="K59" s="18" t="n">
        <v>2.09067104</v>
      </c>
      <c r="L59" s="20" t="n">
        <v>0.92578452</v>
      </c>
      <c r="M59" s="18" t="n">
        <v>0.20038246</v>
      </c>
      <c r="N59" s="20" t="n">
        <v>0.14252998</v>
      </c>
      <c r="O59" s="18" t="n">
        <v>0.53012858</v>
      </c>
      <c r="P59" s="20" t="n">
        <v>0.53011538</v>
      </c>
      <c r="Q59" s="18" t="n">
        <v>22.11847313</v>
      </c>
      <c r="R59" s="20" t="n">
        <v>2.85747899</v>
      </c>
    </row>
    <row r="60" spans="1:18">
      <c r="A60" s="15" t="s">
        <v>402</v>
      </c>
      <c r="B60" s="17" t="n">
        <v>2451</v>
      </c>
      <c r="C60" s="18">
        <f>(2059.0/B60*100)</f>
        <v/>
      </c>
      <c r="D60" s="19" t="n">
        <v>392</v>
      </c>
      <c r="E60" s="18" t="n">
        <v>28.67760456</v>
      </c>
      <c r="F60" s="20" t="n">
        <v>2.3455403</v>
      </c>
      <c r="G60" s="18" t="n">
        <v>43.34536693</v>
      </c>
      <c r="H60" s="20" t="n">
        <v>2.8267339</v>
      </c>
      <c r="I60" s="18" t="s">
        <v>349</v>
      </c>
      <c r="J60" s="20" t="s">
        <v>349</v>
      </c>
      <c r="K60" s="18" t="n">
        <v>4.90076756</v>
      </c>
      <c r="L60" s="20" t="n">
        <v>1.24493773</v>
      </c>
      <c r="M60" s="18" t="n">
        <v>0</v>
      </c>
      <c r="N60" s="20" t="n">
        <v>0</v>
      </c>
      <c r="O60" s="18" t="n">
        <v>0.85597821</v>
      </c>
      <c r="P60" s="20" t="n">
        <v>0.43259527</v>
      </c>
      <c r="Q60" s="18" t="n">
        <v>22.22028273</v>
      </c>
      <c r="R60" s="20" t="n">
        <v>2.59125728</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(2087.0/B63*100)</f>
        <v/>
      </c>
      <c r="D63" s="19" t="n">
        <v>424</v>
      </c>
      <c r="E63" s="18" t="n">
        <v>44.20509615</v>
      </c>
      <c r="F63" s="20" t="n">
        <v>2.83049403</v>
      </c>
      <c r="G63" s="18" t="n">
        <v>30.39514953</v>
      </c>
      <c r="H63" s="20" t="n">
        <v>2.44691578</v>
      </c>
      <c r="I63" s="18" t="s">
        <v>349</v>
      </c>
      <c r="J63" s="20" t="s">
        <v>349</v>
      </c>
      <c r="K63" s="18" t="n">
        <v>3.51180053</v>
      </c>
      <c r="L63" s="20" t="n">
        <v>0.76280522</v>
      </c>
      <c r="M63" s="18" t="n">
        <v>0</v>
      </c>
      <c r="N63" s="20" t="n">
        <v>0</v>
      </c>
      <c r="O63" s="18" t="n">
        <v>0.07965853000000001</v>
      </c>
      <c r="P63" s="20" t="n">
        <v>0.07961192</v>
      </c>
      <c r="Q63" s="18" t="n">
        <v>21.80829525</v>
      </c>
      <c r="R63" s="20" t="n">
        <v>2.50490183</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(2201.0/B65*100)</f>
        <v/>
      </c>
      <c r="D65" s="19" t="n">
        <v>433</v>
      </c>
      <c r="E65" s="18" t="n">
        <v>37.37500322</v>
      </c>
      <c r="F65" s="20" t="n">
        <v>2.48916486</v>
      </c>
      <c r="G65" s="18" t="n">
        <v>45.7774793</v>
      </c>
      <c r="H65" s="20" t="n">
        <v>2.50200022</v>
      </c>
      <c r="I65" s="18" t="s">
        <v>349</v>
      </c>
      <c r="J65" s="20" t="s">
        <v>349</v>
      </c>
      <c r="K65" s="18" t="n">
        <v>4.12403427</v>
      </c>
      <c r="L65" s="20" t="n">
        <v>1.00077879</v>
      </c>
      <c r="M65" s="18" t="n">
        <v>0.49483458</v>
      </c>
      <c r="N65" s="20" t="n">
        <v>0.39095783</v>
      </c>
      <c r="O65" s="18" t="n">
        <v>0</v>
      </c>
      <c r="P65" s="20" t="n">
        <v>0</v>
      </c>
      <c r="Q65" s="18" t="n">
        <v>12.22864863</v>
      </c>
      <c r="R65" s="20" t="n">
        <v>1.45050473</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(2064.0/B69*100)</f>
        <v/>
      </c>
      <c r="D69" s="19" t="n">
        <v>402</v>
      </c>
      <c r="E69" s="18" t="n">
        <v>55.10284039</v>
      </c>
      <c r="F69" s="20" t="n">
        <v>2.6646366</v>
      </c>
      <c r="G69" s="18" t="n">
        <v>42.73387132</v>
      </c>
      <c r="H69" s="20" t="n">
        <v>2.61851146</v>
      </c>
      <c r="I69" s="18" t="s">
        <v>349</v>
      </c>
      <c r="J69" s="20" t="s">
        <v>349</v>
      </c>
      <c r="K69" s="18" t="n">
        <v>0</v>
      </c>
      <c r="L69" s="20" t="n">
        <v>0</v>
      </c>
      <c r="M69" s="18" t="n">
        <v>0</v>
      </c>
      <c r="N69" s="20" t="n">
        <v>0</v>
      </c>
      <c r="O69" s="18" t="n">
        <v>0</v>
      </c>
      <c r="P69" s="20" t="n">
        <v>0</v>
      </c>
      <c r="Q69" s="18" t="n">
        <v>2.16328829</v>
      </c>
      <c r="R69" s="20" t="n">
        <v>0.71815641</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(2027.0/B74*100)</f>
        <v/>
      </c>
      <c r="D74" s="19" t="n">
        <v>426</v>
      </c>
      <c r="E74" s="18" t="n">
        <v>44.6396835</v>
      </c>
      <c r="F74" s="20" t="n">
        <v>2.42006525</v>
      </c>
      <c r="G74" s="18" t="n">
        <v>35.9241963</v>
      </c>
      <c r="H74" s="20" t="n">
        <v>2.55781471</v>
      </c>
      <c r="I74" s="18" t="s">
        <v>349</v>
      </c>
      <c r="J74" s="20" t="s">
        <v>349</v>
      </c>
      <c r="K74" s="18" t="n">
        <v>7.1009317</v>
      </c>
      <c r="L74" s="20" t="n">
        <v>1.45202267</v>
      </c>
      <c r="M74" s="18" t="n">
        <v>0</v>
      </c>
      <c r="N74" s="20" t="n">
        <v>0</v>
      </c>
      <c r="O74" s="18" t="n">
        <v>0.19776211</v>
      </c>
      <c r="P74" s="20" t="n">
        <v>0.19827102</v>
      </c>
      <c r="Q74" s="18" t="n">
        <v>12.1374264</v>
      </c>
      <c r="R74" s="20" t="n">
        <v>1.91358729</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(2542.0/B78*100)</f>
        <v/>
      </c>
      <c r="D78" s="19" t="n">
        <v>498</v>
      </c>
      <c r="E78" s="18" t="n">
        <v>17.37261395</v>
      </c>
      <c r="F78" s="20" t="n">
        <v>1.90330063</v>
      </c>
      <c r="G78" s="18" t="n">
        <v>82.28070212999999</v>
      </c>
      <c r="H78" s="20" t="n">
        <v>1.89626413</v>
      </c>
      <c r="I78" s="18" t="s">
        <v>349</v>
      </c>
      <c r="J78" s="20" t="s">
        <v>349</v>
      </c>
      <c r="K78" s="18" t="n">
        <v>0</v>
      </c>
      <c r="L78" s="20" t="n">
        <v>0</v>
      </c>
      <c r="M78" s="18" t="n">
        <v>0</v>
      </c>
      <c r="N78" s="20" t="n">
        <v>0</v>
      </c>
      <c r="O78" s="18" t="n">
        <v>0.12478523</v>
      </c>
      <c r="P78" s="20" t="n">
        <v>0.12492732</v>
      </c>
      <c r="Q78" s="18" t="n">
        <v>0.22189869</v>
      </c>
      <c r="R78" s="20" t="n">
        <v>0.22295583</v>
      </c>
    </row>
    <row customHeight="1" ht="25" r="79" spans="1:18">
      <c r="A79" s="15" t="s">
        <v>421</v>
      </c>
      <c r="B79" s="17" t="n">
        <v>870</v>
      </c>
      <c r="C79" s="18">
        <f>(723.0/B79*100)</f>
        <v/>
      </c>
      <c r="D79" s="19" t="n">
        <v>147</v>
      </c>
      <c r="E79" s="18" t="n">
        <v>33.77976374</v>
      </c>
      <c r="F79" s="20" t="n">
        <v>4.3547905</v>
      </c>
      <c r="G79" s="18" t="n">
        <v>49.05139179</v>
      </c>
      <c r="H79" s="20" t="n">
        <v>3.73347938</v>
      </c>
      <c r="I79" s="18" t="s">
        <v>349</v>
      </c>
      <c r="J79" s="20" t="s">
        <v>349</v>
      </c>
      <c r="K79" s="18" t="n">
        <v>6.46657644</v>
      </c>
      <c r="L79" s="20" t="n">
        <v>2.00340664</v>
      </c>
      <c r="M79" s="18" t="n">
        <v>0</v>
      </c>
      <c r="N79" s="20" t="n">
        <v>0</v>
      </c>
      <c r="O79" s="18" t="n">
        <v>0.30113105</v>
      </c>
      <c r="P79" s="20" t="n">
        <v>0.29289263</v>
      </c>
      <c r="Q79" s="18" t="n">
        <v>10.40113698</v>
      </c>
      <c r="R79" s="20" t="n">
        <v>2.40156391</v>
      </c>
    </row>
    <row r="80" spans="1:18">
      <c r="A80" s="15" t="s">
        <v>422</v>
      </c>
      <c r="B80" s="17" t="n">
        <v>4043</v>
      </c>
      <c r="C80" s="18">
        <f>(3384.0/B80*100)</f>
        <v/>
      </c>
      <c r="D80" s="19" t="n">
        <v>659</v>
      </c>
      <c r="E80" s="18" t="n">
        <v>37.83114119</v>
      </c>
      <c r="F80" s="20" t="n">
        <v>2.77107986</v>
      </c>
      <c r="G80" s="18" t="n">
        <v>61.68261804</v>
      </c>
      <c r="H80" s="20" t="n">
        <v>2.77767986</v>
      </c>
      <c r="I80" s="18" t="s">
        <v>349</v>
      </c>
      <c r="J80" s="20" t="s">
        <v>349</v>
      </c>
      <c r="K80" s="18" t="n">
        <v>0</v>
      </c>
      <c r="L80" s="20" t="n">
        <v>0</v>
      </c>
      <c r="M80" s="18" t="n">
        <v>0</v>
      </c>
      <c r="N80" s="20" t="n">
        <v>0</v>
      </c>
      <c r="O80" s="18" t="n">
        <v>0</v>
      </c>
      <c r="P80" s="20" t="n">
        <v>0</v>
      </c>
      <c r="Q80" s="18" t="n">
        <v>0.48624077</v>
      </c>
      <c r="R80" s="20" t="n">
        <v>0.28361364</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612</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row>
    <row r="12" spans="1:20">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row>
    <row r="29" spans="1:20">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2670</v>
      </c>
      <c r="C45" s="18">
        <f>(2228.0/B45*100)</f>
        <v/>
      </c>
      <c r="D45" s="19" t="n">
        <v>442</v>
      </c>
      <c r="E45" s="18" t="n">
        <v>29.80741675</v>
      </c>
      <c r="F45" s="20" t="n">
        <v>2.40661102</v>
      </c>
      <c r="G45" s="18" t="n">
        <v>26.84921677</v>
      </c>
      <c r="H45" s="20" t="n">
        <v>2.28004835</v>
      </c>
      <c r="I45" s="18" t="n">
        <v>16.61908791</v>
      </c>
      <c r="J45" s="20" t="n">
        <v>2.25205658</v>
      </c>
      <c r="K45" s="18" t="s">
        <v>349</v>
      </c>
      <c r="L45" s="20" t="s">
        <v>349</v>
      </c>
      <c r="M45" s="18" t="n">
        <v>5.5589059</v>
      </c>
      <c r="N45" s="20" t="n">
        <v>1.07369303</v>
      </c>
      <c r="O45" s="18" t="n">
        <v>0.86150491</v>
      </c>
      <c r="P45" s="20" t="n">
        <v>0.44831126</v>
      </c>
      <c r="Q45" s="18" t="n">
        <v>0</v>
      </c>
      <c r="R45" s="20" t="n">
        <v>0</v>
      </c>
      <c r="S45" s="18" t="n">
        <v>20.30386775</v>
      </c>
      <c r="T45" s="20" t="n">
        <v>2.19788276</v>
      </c>
    </row>
    <row r="46" spans="1:20">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row>
    <row r="47" spans="1:20">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row>
    <row r="48" spans="1:20">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3331</v>
      </c>
      <c r="C49" s="18">
        <f>(2758.0/B49*100)</f>
        <v/>
      </c>
      <c r="D49" s="19" t="n">
        <v>573</v>
      </c>
      <c r="E49" s="18" t="n">
        <v>22.4369467</v>
      </c>
      <c r="F49" s="20" t="n">
        <v>2.00300675</v>
      </c>
      <c r="G49" s="18" t="n">
        <v>23.26109052</v>
      </c>
      <c r="H49" s="20" t="n">
        <v>1.87349494</v>
      </c>
      <c r="I49" s="18" t="n">
        <v>24.13735938</v>
      </c>
      <c r="J49" s="20" t="n">
        <v>2.18471495</v>
      </c>
      <c r="K49" s="18" t="s">
        <v>349</v>
      </c>
      <c r="L49" s="20" t="s">
        <v>349</v>
      </c>
      <c r="M49" s="18" t="n">
        <v>5.0362045</v>
      </c>
      <c r="N49" s="20" t="n">
        <v>0.90581451</v>
      </c>
      <c r="O49" s="18" t="n">
        <v>0</v>
      </c>
      <c r="P49" s="20" t="n">
        <v>0</v>
      </c>
      <c r="Q49" s="18" t="n">
        <v>0</v>
      </c>
      <c r="R49" s="20" t="n">
        <v>0</v>
      </c>
      <c r="S49" s="18" t="n">
        <v>25.12839891</v>
      </c>
      <c r="T49" s="20" t="n">
        <v>2.09745519</v>
      </c>
    </row>
    <row r="50" spans="1:20">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row>
    <row r="51" spans="1:20">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row>
    <row r="52" spans="1:20">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row>
    <row r="54" spans="1:20">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row>
    <row r="55" spans="1:20">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3737</v>
      </c>
      <c r="C58" s="18">
        <f>(3103.0/B58*100)</f>
        <v/>
      </c>
      <c r="D58" s="19" t="n">
        <v>634</v>
      </c>
      <c r="E58" s="18" t="n">
        <v>32.19433418</v>
      </c>
      <c r="F58" s="20" t="n">
        <v>2.37841624</v>
      </c>
      <c r="G58" s="18" t="n">
        <v>29.76555878</v>
      </c>
      <c r="H58" s="20" t="n">
        <v>2.01645166</v>
      </c>
      <c r="I58" s="18" t="n">
        <v>23.65836056</v>
      </c>
      <c r="J58" s="20" t="n">
        <v>1.93670445</v>
      </c>
      <c r="K58" s="18" t="s">
        <v>349</v>
      </c>
      <c r="L58" s="20" t="s">
        <v>349</v>
      </c>
      <c r="M58" s="18" t="n">
        <v>3.92382653</v>
      </c>
      <c r="N58" s="20" t="n">
        <v>0.87685314</v>
      </c>
      <c r="O58" s="18" t="n">
        <v>0</v>
      </c>
      <c r="P58" s="20" t="n">
        <v>0</v>
      </c>
      <c r="Q58" s="18" t="n">
        <v>0</v>
      </c>
      <c r="R58" s="20" t="n">
        <v>0</v>
      </c>
      <c r="S58" s="18" t="n">
        <v>10.45791995</v>
      </c>
      <c r="T58" s="20" t="n">
        <v>1.59238144</v>
      </c>
    </row>
    <row r="59" spans="1:20">
      <c r="A59" s="15" t="s">
        <v>401</v>
      </c>
      <c r="B59" s="17" t="n">
        <v>2278</v>
      </c>
      <c r="C59" s="18">
        <f>(1893.0/B59*100)</f>
        <v/>
      </c>
      <c r="D59" s="19" t="n">
        <v>385</v>
      </c>
      <c r="E59" s="18" t="n">
        <v>38.98450426</v>
      </c>
      <c r="F59" s="20" t="n">
        <v>2.86275917</v>
      </c>
      <c r="G59" s="18" t="n">
        <v>28.18993169</v>
      </c>
      <c r="H59" s="20" t="n">
        <v>2.68193409</v>
      </c>
      <c r="I59" s="18" t="n">
        <v>17.09594884</v>
      </c>
      <c r="J59" s="20" t="n">
        <v>2.06269672</v>
      </c>
      <c r="K59" s="18" t="s">
        <v>349</v>
      </c>
      <c r="L59" s="20" t="s">
        <v>349</v>
      </c>
      <c r="M59" s="18" t="n">
        <v>2.09067104</v>
      </c>
      <c r="N59" s="20" t="n">
        <v>0.92578452</v>
      </c>
      <c r="O59" s="18" t="n">
        <v>0</v>
      </c>
      <c r="P59" s="20" t="n">
        <v>0</v>
      </c>
      <c r="Q59" s="18" t="n">
        <v>0</v>
      </c>
      <c r="R59" s="20" t="n">
        <v>0</v>
      </c>
      <c r="S59" s="18" t="n">
        <v>13.63894416</v>
      </c>
      <c r="T59" s="20" t="n">
        <v>2.26197562</v>
      </c>
    </row>
    <row r="60" spans="1:20">
      <c r="A60" s="15" t="s">
        <v>402</v>
      </c>
      <c r="B60" s="17" t="n">
        <v>2451</v>
      </c>
      <c r="C60" s="18">
        <f>(2059.0/B60*100)</f>
        <v/>
      </c>
      <c r="D60" s="19" t="n">
        <v>392</v>
      </c>
      <c r="E60" s="18" t="n">
        <v>21.58159226</v>
      </c>
      <c r="F60" s="20" t="n">
        <v>2.0292857</v>
      </c>
      <c r="G60" s="18" t="n">
        <v>15.17218665</v>
      </c>
      <c r="H60" s="20" t="n">
        <v>1.90133666</v>
      </c>
      <c r="I60" s="18" t="n">
        <v>24.30257442</v>
      </c>
      <c r="J60" s="20" t="n">
        <v>2.40429844</v>
      </c>
      <c r="K60" s="18" t="s">
        <v>349</v>
      </c>
      <c r="L60" s="20" t="s">
        <v>349</v>
      </c>
      <c r="M60" s="18" t="n">
        <v>5.69834375</v>
      </c>
      <c r="N60" s="20" t="n">
        <v>1.38940481</v>
      </c>
      <c r="O60" s="18" t="n">
        <v>0.30946754</v>
      </c>
      <c r="P60" s="20" t="n">
        <v>0.31125004</v>
      </c>
      <c r="Q60" s="18" t="n">
        <v>0</v>
      </c>
      <c r="R60" s="20" t="n">
        <v>0</v>
      </c>
      <c r="S60" s="18" t="n">
        <v>32.93583538</v>
      </c>
      <c r="T60" s="20" t="n">
        <v>2.78051175</v>
      </c>
    </row>
    <row r="61" spans="1:20">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2511</v>
      </c>
      <c r="C63" s="18">
        <f>(2087.0/B63*100)</f>
        <v/>
      </c>
      <c r="D63" s="19" t="n">
        <v>424</v>
      </c>
      <c r="E63" s="18" t="n">
        <v>19.1814318</v>
      </c>
      <c r="F63" s="20" t="n">
        <v>1.93828097</v>
      </c>
      <c r="G63" s="18" t="n">
        <v>19.59517045</v>
      </c>
      <c r="H63" s="20" t="n">
        <v>2.1096641</v>
      </c>
      <c r="I63" s="18" t="n">
        <v>22.05992694</v>
      </c>
      <c r="J63" s="20" t="n">
        <v>1.98764595</v>
      </c>
      <c r="K63" s="18" t="s">
        <v>349</v>
      </c>
      <c r="L63" s="20" t="s">
        <v>349</v>
      </c>
      <c r="M63" s="18" t="n">
        <v>3.51180053</v>
      </c>
      <c r="N63" s="20" t="n">
        <v>0.76280522</v>
      </c>
      <c r="O63" s="18" t="n">
        <v>0</v>
      </c>
      <c r="P63" s="20" t="n">
        <v>0</v>
      </c>
      <c r="Q63" s="18" t="n">
        <v>0</v>
      </c>
      <c r="R63" s="20" t="n">
        <v>0</v>
      </c>
      <c r="S63" s="18" t="n">
        <v>35.65167027</v>
      </c>
      <c r="T63" s="20" t="n">
        <v>2.28669871</v>
      </c>
    </row>
    <row r="64" spans="1:20">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2634</v>
      </c>
      <c r="C65" s="18">
        <f>(2201.0/B65*100)</f>
        <v/>
      </c>
      <c r="D65" s="19" t="n">
        <v>433</v>
      </c>
      <c r="E65" s="18" t="n">
        <v>23.14260663</v>
      </c>
      <c r="F65" s="20" t="n">
        <v>2.26421673</v>
      </c>
      <c r="G65" s="18" t="n">
        <v>24.83597715</v>
      </c>
      <c r="H65" s="20" t="n">
        <v>2.31719303</v>
      </c>
      <c r="I65" s="18" t="n">
        <v>22.85446956</v>
      </c>
      <c r="J65" s="20" t="n">
        <v>1.99395038</v>
      </c>
      <c r="K65" s="18" t="s">
        <v>349</v>
      </c>
      <c r="L65" s="20" t="s">
        <v>349</v>
      </c>
      <c r="M65" s="18" t="n">
        <v>4.75495946</v>
      </c>
      <c r="N65" s="20" t="n">
        <v>1.05719279</v>
      </c>
      <c r="O65" s="18" t="n">
        <v>0</v>
      </c>
      <c r="P65" s="20" t="n">
        <v>0</v>
      </c>
      <c r="Q65" s="18" t="n">
        <v>0</v>
      </c>
      <c r="R65" s="20" t="n">
        <v>0</v>
      </c>
      <c r="S65" s="18" t="n">
        <v>24.4119872</v>
      </c>
      <c r="T65" s="20" t="n">
        <v>2.57397857</v>
      </c>
    </row>
    <row r="66" spans="1:20">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row>
    <row r="68" spans="1:20">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2466</v>
      </c>
      <c r="C69" s="18">
        <f>(2064.0/B69*100)</f>
        <v/>
      </c>
      <c r="D69" s="19" t="n">
        <v>402</v>
      </c>
      <c r="E69" s="18" t="n">
        <v>35.30234303</v>
      </c>
      <c r="F69" s="20" t="n">
        <v>2.990077</v>
      </c>
      <c r="G69" s="18" t="n">
        <v>30.23922651</v>
      </c>
      <c r="H69" s="20" t="n">
        <v>2.59245714</v>
      </c>
      <c r="I69" s="18" t="n">
        <v>34.45843047</v>
      </c>
      <c r="J69" s="20" t="n">
        <v>3.18346225</v>
      </c>
      <c r="K69" s="18" t="s">
        <v>349</v>
      </c>
      <c r="L69" s="20" t="s">
        <v>349</v>
      </c>
      <c r="M69" s="18" t="n">
        <v>0</v>
      </c>
      <c r="N69" s="20" t="n">
        <v>0</v>
      </c>
      <c r="O69" s="18" t="n">
        <v>0</v>
      </c>
      <c r="P69" s="20" t="n">
        <v>0</v>
      </c>
      <c r="Q69" s="18" t="n">
        <v>0</v>
      </c>
      <c r="R69" s="20" t="n">
        <v>0</v>
      </c>
      <c r="S69" s="18" t="n">
        <v>0</v>
      </c>
      <c r="T69" s="20" t="n">
        <v>0</v>
      </c>
    </row>
    <row r="70" spans="1:20">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2453</v>
      </c>
      <c r="C74" s="18">
        <f>(2027.0/B74*100)</f>
        <v/>
      </c>
      <c r="D74" s="19" t="n">
        <v>426</v>
      </c>
      <c r="E74" s="18" t="n">
        <v>16.67745071</v>
      </c>
      <c r="F74" s="20" t="n">
        <v>1.85110384</v>
      </c>
      <c r="G74" s="18" t="n">
        <v>17.74891689</v>
      </c>
      <c r="H74" s="20" t="n">
        <v>1.92568755</v>
      </c>
      <c r="I74" s="18" t="n">
        <v>37.23416679</v>
      </c>
      <c r="J74" s="20" t="n">
        <v>2.67096747</v>
      </c>
      <c r="K74" s="18" t="s">
        <v>349</v>
      </c>
      <c r="L74" s="20" t="s">
        <v>349</v>
      </c>
      <c r="M74" s="18" t="n">
        <v>7.1009317</v>
      </c>
      <c r="N74" s="20" t="n">
        <v>1.45202267</v>
      </c>
      <c r="O74" s="18" t="n">
        <v>0</v>
      </c>
      <c r="P74" s="20" t="n">
        <v>0</v>
      </c>
      <c r="Q74" s="18" t="n">
        <v>0</v>
      </c>
      <c r="R74" s="20" t="n">
        <v>0</v>
      </c>
      <c r="S74" s="18" t="n">
        <v>21.23853392</v>
      </c>
      <c r="T74" s="20" t="n">
        <v>2.34378241</v>
      </c>
    </row>
    <row r="75" spans="1:20">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row>
    <row r="76" spans="1:20">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row>
    <row r="77" spans="1:20">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row>
    <row r="78" spans="1:20">
      <c r="A78" s="15" t="s">
        <v>420</v>
      </c>
      <c r="B78" s="17" t="n">
        <v>3040</v>
      </c>
      <c r="C78" s="18">
        <f>(2542.0/B78*100)</f>
        <v/>
      </c>
      <c r="D78" s="19" t="n">
        <v>498</v>
      </c>
      <c r="E78" s="18" t="n">
        <v>16.27832729</v>
      </c>
      <c r="F78" s="20" t="n">
        <v>2.05778981</v>
      </c>
      <c r="G78" s="18" t="n">
        <v>37.96740755</v>
      </c>
      <c r="H78" s="20" t="n">
        <v>2.23252839</v>
      </c>
      <c r="I78" s="18" t="n">
        <v>44.87569186</v>
      </c>
      <c r="J78" s="20" t="n">
        <v>2.22892344</v>
      </c>
      <c r="K78" s="18" t="s">
        <v>349</v>
      </c>
      <c r="L78" s="20" t="s">
        <v>349</v>
      </c>
      <c r="M78" s="18" t="n">
        <v>0</v>
      </c>
      <c r="N78" s="20" t="n">
        <v>0</v>
      </c>
      <c r="O78" s="18" t="n">
        <v>0</v>
      </c>
      <c r="P78" s="20" t="n">
        <v>0</v>
      </c>
      <c r="Q78" s="18" t="n">
        <v>0</v>
      </c>
      <c r="R78" s="20" t="n">
        <v>0</v>
      </c>
      <c r="S78" s="18" t="n">
        <v>0.8785733</v>
      </c>
      <c r="T78" s="20" t="n">
        <v>0.36209305</v>
      </c>
    </row>
    <row customHeight="1" ht="25" r="79" spans="1:20">
      <c r="A79" s="15" t="s">
        <v>421</v>
      </c>
      <c r="B79" s="17" t="n">
        <v>870</v>
      </c>
      <c r="C79" s="18">
        <f>(723.0/B79*100)</f>
        <v/>
      </c>
      <c r="D79" s="19" t="n">
        <v>147</v>
      </c>
      <c r="E79" s="18" t="n">
        <v>11.91908939</v>
      </c>
      <c r="F79" s="20" t="n">
        <v>2.78108511</v>
      </c>
      <c r="G79" s="18" t="n">
        <v>18.75049128</v>
      </c>
      <c r="H79" s="20" t="n">
        <v>3.48693411</v>
      </c>
      <c r="I79" s="18" t="n">
        <v>42.20764621</v>
      </c>
      <c r="J79" s="20" t="n">
        <v>4.71859995</v>
      </c>
      <c r="K79" s="18" t="s">
        <v>349</v>
      </c>
      <c r="L79" s="20" t="s">
        <v>349</v>
      </c>
      <c r="M79" s="18" t="n">
        <v>6.46657644</v>
      </c>
      <c r="N79" s="20" t="n">
        <v>2.00340664</v>
      </c>
      <c r="O79" s="18" t="n">
        <v>0</v>
      </c>
      <c r="P79" s="20" t="n">
        <v>0</v>
      </c>
      <c r="Q79" s="18" t="n">
        <v>0</v>
      </c>
      <c r="R79" s="20" t="n">
        <v>0</v>
      </c>
      <c r="S79" s="18" t="n">
        <v>20.65619668</v>
      </c>
      <c r="T79" s="20" t="n">
        <v>3.47749296</v>
      </c>
    </row>
    <row r="80" spans="1:20">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(2228.0/B45*100)</f>
        <v/>
      </c>
      <c r="D45" s="19" t="n">
        <v>442</v>
      </c>
      <c r="E45" s="18" t="n">
        <v>44.88302391</v>
      </c>
      <c r="F45" s="20" t="n">
        <v>2.99714515</v>
      </c>
      <c r="G45" s="18" t="n">
        <v>43.01597239</v>
      </c>
      <c r="H45" s="20" t="n">
        <v>3.00154246</v>
      </c>
      <c r="I45" s="18" t="s">
        <v>349</v>
      </c>
      <c r="J45" s="20" t="s">
        <v>349</v>
      </c>
      <c r="K45" s="18" t="n">
        <v>6.0996587</v>
      </c>
      <c r="L45" s="20" t="n">
        <v>1.11285644</v>
      </c>
      <c r="M45" s="18" t="n">
        <v>1.36551319</v>
      </c>
      <c r="N45" s="20" t="n">
        <v>0.49467759</v>
      </c>
      <c r="O45" s="18" t="n">
        <v>1.99060002</v>
      </c>
      <c r="P45" s="20" t="n">
        <v>0.58998796</v>
      </c>
      <c r="Q45" s="18" t="n">
        <v>2.64523178</v>
      </c>
      <c r="R45" s="20" t="n">
        <v>0.728372</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(2758.0/B49*100)</f>
        <v/>
      </c>
      <c r="D49" s="19" t="n">
        <v>573</v>
      </c>
      <c r="E49" s="18" t="n">
        <v>52.59830118</v>
      </c>
      <c r="F49" s="20" t="n">
        <v>2.57676371</v>
      </c>
      <c r="G49" s="18" t="n">
        <v>38.94715613</v>
      </c>
      <c r="H49" s="20" t="n">
        <v>2.57016697</v>
      </c>
      <c r="I49" s="18" t="s">
        <v>349</v>
      </c>
      <c r="J49" s="20" t="s">
        <v>349</v>
      </c>
      <c r="K49" s="18" t="n">
        <v>5.10316641</v>
      </c>
      <c r="L49" s="20" t="n">
        <v>0.90022366</v>
      </c>
      <c r="M49" s="18" t="n">
        <v>0.16988291</v>
      </c>
      <c r="N49" s="20" t="n">
        <v>0.17062222</v>
      </c>
      <c r="O49" s="18" t="n">
        <v>1.39130673</v>
      </c>
      <c r="P49" s="20" t="n">
        <v>0.5831197</v>
      </c>
      <c r="Q49" s="18" t="n">
        <v>1.79018664</v>
      </c>
      <c r="R49" s="20" t="n">
        <v>0.64587925</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(3103.0/B58*100)</f>
        <v/>
      </c>
      <c r="D58" s="19" t="n">
        <v>634</v>
      </c>
      <c r="E58" s="18" t="n">
        <v>59.52242778</v>
      </c>
      <c r="F58" s="20" t="n">
        <v>2.43723132</v>
      </c>
      <c r="G58" s="18" t="n">
        <v>33.68825642</v>
      </c>
      <c r="H58" s="20" t="n">
        <v>2.61700848</v>
      </c>
      <c r="I58" s="18" t="s">
        <v>349</v>
      </c>
      <c r="J58" s="20" t="s">
        <v>349</v>
      </c>
      <c r="K58" s="18" t="n">
        <v>4.61633812</v>
      </c>
      <c r="L58" s="20" t="n">
        <v>0.94949923</v>
      </c>
      <c r="M58" s="18" t="n">
        <v>0</v>
      </c>
      <c r="N58" s="20" t="n">
        <v>0</v>
      </c>
      <c r="O58" s="18" t="n">
        <v>0.49625145</v>
      </c>
      <c r="P58" s="20" t="n">
        <v>0.32227979</v>
      </c>
      <c r="Q58" s="18" t="n">
        <v>1.67672623</v>
      </c>
      <c r="R58" s="20" t="n">
        <v>0.6370160499999999</v>
      </c>
    </row>
    <row r="59" spans="1:18">
      <c r="A59" s="15" t="s">
        <v>401</v>
      </c>
      <c r="B59" s="17" t="n">
        <v>2278</v>
      </c>
      <c r="C59" s="18">
        <f>(1893.0/B59*100)</f>
        <v/>
      </c>
      <c r="D59" s="19" t="n">
        <v>385</v>
      </c>
      <c r="E59" s="18" t="n">
        <v>56.24933166</v>
      </c>
      <c r="F59" s="20" t="n">
        <v>3.25180866</v>
      </c>
      <c r="G59" s="18" t="n">
        <v>38.15127826</v>
      </c>
      <c r="H59" s="20" t="n">
        <v>3.52967516</v>
      </c>
      <c r="I59" s="18" t="s">
        <v>349</v>
      </c>
      <c r="J59" s="20" t="s">
        <v>349</v>
      </c>
      <c r="K59" s="18" t="n">
        <v>2.09067104</v>
      </c>
      <c r="L59" s="20" t="n">
        <v>0.92578452</v>
      </c>
      <c r="M59" s="18" t="n">
        <v>0.22744464</v>
      </c>
      <c r="N59" s="20" t="n">
        <v>0.32247602</v>
      </c>
      <c r="O59" s="18" t="n">
        <v>2.96722362</v>
      </c>
      <c r="P59" s="20" t="n">
        <v>1.17125671</v>
      </c>
      <c r="Q59" s="18" t="n">
        <v>0.31405077</v>
      </c>
      <c r="R59" s="20" t="n">
        <v>0.24024273</v>
      </c>
    </row>
    <row r="60" spans="1:18">
      <c r="A60" s="15" t="s">
        <v>402</v>
      </c>
      <c r="B60" s="17" t="n">
        <v>2451</v>
      </c>
      <c r="C60" s="18">
        <f>(2059.0/B60*100)</f>
        <v/>
      </c>
      <c r="D60" s="19" t="n">
        <v>392</v>
      </c>
      <c r="E60" s="18" t="n">
        <v>40.3574308</v>
      </c>
      <c r="F60" s="20" t="n">
        <v>2.96612082</v>
      </c>
      <c r="G60" s="18" t="n">
        <v>44.46704939</v>
      </c>
      <c r="H60" s="20" t="n">
        <v>2.94557651</v>
      </c>
      <c r="I60" s="18" t="s">
        <v>349</v>
      </c>
      <c r="J60" s="20" t="s">
        <v>349</v>
      </c>
      <c r="K60" s="18" t="n">
        <v>6.00998289</v>
      </c>
      <c r="L60" s="20" t="n">
        <v>1.43095032</v>
      </c>
      <c r="M60" s="18" t="n">
        <v>0</v>
      </c>
      <c r="N60" s="20" t="n">
        <v>0</v>
      </c>
      <c r="O60" s="18" t="n">
        <v>5.48290032</v>
      </c>
      <c r="P60" s="20" t="n">
        <v>1.16016826</v>
      </c>
      <c r="Q60" s="18" t="n">
        <v>3.6826366</v>
      </c>
      <c r="R60" s="20" t="n">
        <v>1.14580957</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(2087.0/B63*100)</f>
        <v/>
      </c>
      <c r="D63" s="19" t="n">
        <v>424</v>
      </c>
      <c r="E63" s="18" t="n">
        <v>37.1021475</v>
      </c>
      <c r="F63" s="20" t="n">
        <v>2.1726727</v>
      </c>
      <c r="G63" s="18" t="n">
        <v>57.50550369</v>
      </c>
      <c r="H63" s="20" t="n">
        <v>2.37532353</v>
      </c>
      <c r="I63" s="18" t="s">
        <v>349</v>
      </c>
      <c r="J63" s="20" t="s">
        <v>349</v>
      </c>
      <c r="K63" s="18" t="n">
        <v>3.51180053</v>
      </c>
      <c r="L63" s="20" t="n">
        <v>0.76280522</v>
      </c>
      <c r="M63" s="18" t="n">
        <v>0</v>
      </c>
      <c r="N63" s="20" t="n">
        <v>0</v>
      </c>
      <c r="O63" s="18" t="n">
        <v>0</v>
      </c>
      <c r="P63" s="20" t="n">
        <v>0</v>
      </c>
      <c r="Q63" s="18" t="n">
        <v>1.88054827</v>
      </c>
      <c r="R63" s="20" t="n">
        <v>0.63326147</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(2201.0/B65*100)</f>
        <v/>
      </c>
      <c r="D65" s="19" t="n">
        <v>433</v>
      </c>
      <c r="E65" s="18" t="n">
        <v>45.4969675</v>
      </c>
      <c r="F65" s="20" t="n">
        <v>2.95091259</v>
      </c>
      <c r="G65" s="18" t="n">
        <v>44.41484837</v>
      </c>
      <c r="H65" s="20" t="n">
        <v>2.57113438</v>
      </c>
      <c r="I65" s="18" t="s">
        <v>349</v>
      </c>
      <c r="J65" s="20" t="s">
        <v>349</v>
      </c>
      <c r="K65" s="18" t="n">
        <v>5.30702656</v>
      </c>
      <c r="L65" s="20" t="n">
        <v>1.15649969</v>
      </c>
      <c r="M65" s="18" t="n">
        <v>1.53867069</v>
      </c>
      <c r="N65" s="20" t="n">
        <v>0.63658515</v>
      </c>
      <c r="O65" s="18" t="n">
        <v>0.32517154</v>
      </c>
      <c r="P65" s="20" t="n">
        <v>0.2014813</v>
      </c>
      <c r="Q65" s="18" t="n">
        <v>2.91731535</v>
      </c>
      <c r="R65" s="20" t="n">
        <v>0.83556251</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(2064.0/B69*100)</f>
        <v/>
      </c>
      <c r="D69" s="19" t="n">
        <v>402</v>
      </c>
      <c r="E69" s="18" t="n">
        <v>61.25763286</v>
      </c>
      <c r="F69" s="20" t="n">
        <v>2.1925226</v>
      </c>
      <c r="G69" s="18" t="n">
        <v>38.74236714</v>
      </c>
      <c r="H69" s="20" t="n">
        <v>2.1925226</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(2027.0/B74*100)</f>
        <v/>
      </c>
      <c r="D74" s="19" t="n">
        <v>426</v>
      </c>
      <c r="E74" s="18" t="n">
        <v>48.36956253</v>
      </c>
      <c r="F74" s="20" t="n">
        <v>2.67596255</v>
      </c>
      <c r="G74" s="18" t="n">
        <v>41.44927105</v>
      </c>
      <c r="H74" s="20" t="n">
        <v>2.63590433</v>
      </c>
      <c r="I74" s="18" t="s">
        <v>349</v>
      </c>
      <c r="J74" s="20" t="s">
        <v>349</v>
      </c>
      <c r="K74" s="18" t="n">
        <v>7.1009317</v>
      </c>
      <c r="L74" s="20" t="n">
        <v>1.45202267</v>
      </c>
      <c r="M74" s="18" t="n">
        <v>0</v>
      </c>
      <c r="N74" s="20" t="n">
        <v>0</v>
      </c>
      <c r="O74" s="18" t="n">
        <v>0.16982527</v>
      </c>
      <c r="P74" s="20" t="n">
        <v>0.17187453</v>
      </c>
      <c r="Q74" s="18" t="n">
        <v>2.91040945</v>
      </c>
      <c r="R74" s="20" t="n">
        <v>0.9017021200000001</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(2542.0/B78*100)</f>
        <v/>
      </c>
      <c r="D78" s="19" t="n">
        <v>498</v>
      </c>
      <c r="E78" s="18" t="n">
        <v>21.14150386</v>
      </c>
      <c r="F78" s="20" t="n">
        <v>2.10412728</v>
      </c>
      <c r="G78" s="18" t="n">
        <v>78.85849614</v>
      </c>
      <c r="H78" s="20" t="n">
        <v>2.10412728</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(723.0/B79*100)</f>
        <v/>
      </c>
      <c r="D79" s="19" t="n">
        <v>147</v>
      </c>
      <c r="E79" s="18" t="n">
        <v>40.83620614</v>
      </c>
      <c r="F79" s="20" t="n">
        <v>3.87874542</v>
      </c>
      <c r="G79" s="18" t="n">
        <v>49.26862179</v>
      </c>
      <c r="H79" s="20" t="n">
        <v>3.59880168</v>
      </c>
      <c r="I79" s="18" t="s">
        <v>349</v>
      </c>
      <c r="J79" s="20" t="s">
        <v>349</v>
      </c>
      <c r="K79" s="18" t="n">
        <v>7.31385871</v>
      </c>
      <c r="L79" s="20" t="n">
        <v>1.76861833</v>
      </c>
      <c r="M79" s="18" t="n">
        <v>0</v>
      </c>
      <c r="N79" s="20" t="n">
        <v>0</v>
      </c>
      <c r="O79" s="18" t="n">
        <v>0.7747628</v>
      </c>
      <c r="P79" s="20" t="n">
        <v>0.81511462</v>
      </c>
      <c r="Q79" s="18" t="n">
        <v>1.80655057</v>
      </c>
      <c r="R79" s="20" t="n">
        <v>1.33043645</v>
      </c>
    </row>
    <row r="80" spans="1:18">
      <c r="A80" s="15" t="s">
        <v>422</v>
      </c>
      <c r="B80" s="17" t="n">
        <v>4043</v>
      </c>
      <c r="C80" s="18">
        <f>(3384.0/B80*100)</f>
        <v/>
      </c>
      <c r="D80" s="19" t="n">
        <v>659</v>
      </c>
      <c r="E80" s="18" t="n">
        <v>58.47551009</v>
      </c>
      <c r="F80" s="20" t="n">
        <v>2.64957644</v>
      </c>
      <c r="G80" s="18" t="n">
        <v>41.35174991</v>
      </c>
      <c r="H80" s="20" t="n">
        <v>2.6170458</v>
      </c>
      <c r="I80" s="18" t="s">
        <v>349</v>
      </c>
      <c r="J80" s="20" t="s">
        <v>349</v>
      </c>
      <c r="K80" s="18" t="n">
        <v>0</v>
      </c>
      <c r="L80" s="20" t="n">
        <v>0</v>
      </c>
      <c r="M80" s="18" t="n">
        <v>0</v>
      </c>
      <c r="N80" s="20" t="n">
        <v>0</v>
      </c>
      <c r="O80" s="18" t="n">
        <v>0</v>
      </c>
      <c r="P80" s="20" t="n">
        <v>0</v>
      </c>
      <c r="Q80" s="18" t="n">
        <v>0.17274</v>
      </c>
      <c r="R80" s="20" t="n">
        <v>0.2343727</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(2228.0/B45*100)</f>
        <v/>
      </c>
      <c r="D45" s="19" t="n">
        <v>442</v>
      </c>
      <c r="E45" s="18" t="n">
        <v>60.54874127</v>
      </c>
      <c r="F45" s="20" t="n">
        <v>2.24728998</v>
      </c>
      <c r="G45" s="18" t="n">
        <v>28.50954709</v>
      </c>
      <c r="H45" s="20" t="n">
        <v>2.61070575</v>
      </c>
      <c r="I45" s="18" t="s">
        <v>349</v>
      </c>
      <c r="J45" s="20" t="s">
        <v>349</v>
      </c>
      <c r="K45" s="18" t="n">
        <v>6.65290501</v>
      </c>
      <c r="L45" s="20" t="n">
        <v>1.23815605</v>
      </c>
      <c r="M45" s="18" t="n">
        <v>0.54300861</v>
      </c>
      <c r="N45" s="20" t="n">
        <v>0.37810615</v>
      </c>
      <c r="O45" s="18" t="n">
        <v>0.70761733</v>
      </c>
      <c r="P45" s="20" t="n">
        <v>0.44833518</v>
      </c>
      <c r="Q45" s="18" t="n">
        <v>3.0381807</v>
      </c>
      <c r="R45" s="20" t="n">
        <v>0.88546236</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(2758.0/B49*100)</f>
        <v/>
      </c>
      <c r="D49" s="19" t="n">
        <v>573</v>
      </c>
      <c r="E49" s="18" t="n">
        <v>65.47398579</v>
      </c>
      <c r="F49" s="20" t="n">
        <v>2.01901258</v>
      </c>
      <c r="G49" s="18" t="n">
        <v>28.12496982</v>
      </c>
      <c r="H49" s="20" t="n">
        <v>1.78588243</v>
      </c>
      <c r="I49" s="18" t="s">
        <v>349</v>
      </c>
      <c r="J49" s="20" t="s">
        <v>349</v>
      </c>
      <c r="K49" s="18" t="n">
        <v>5.10316641</v>
      </c>
      <c r="L49" s="20" t="n">
        <v>0.90022366</v>
      </c>
      <c r="M49" s="18" t="n">
        <v>0</v>
      </c>
      <c r="N49" s="20" t="n">
        <v>0</v>
      </c>
      <c r="O49" s="18" t="n">
        <v>0</v>
      </c>
      <c r="P49" s="20" t="n">
        <v>0</v>
      </c>
      <c r="Q49" s="18" t="n">
        <v>1.29787799</v>
      </c>
      <c r="R49" s="20" t="n">
        <v>0.5802016800000001</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(3103.0/B58*100)</f>
        <v/>
      </c>
      <c r="D58" s="19" t="n">
        <v>634</v>
      </c>
      <c r="E58" s="18" t="n">
        <v>76.09518565</v>
      </c>
      <c r="F58" s="20" t="n">
        <v>1.84390522</v>
      </c>
      <c r="G58" s="18" t="n">
        <v>17.86191102</v>
      </c>
      <c r="H58" s="20" t="n">
        <v>1.88162778</v>
      </c>
      <c r="I58" s="18" t="s">
        <v>349</v>
      </c>
      <c r="J58" s="20" t="s">
        <v>349</v>
      </c>
      <c r="K58" s="18" t="n">
        <v>4.61633812</v>
      </c>
      <c r="L58" s="20" t="n">
        <v>0.94949923</v>
      </c>
      <c r="M58" s="18" t="n">
        <v>0</v>
      </c>
      <c r="N58" s="20" t="n">
        <v>0</v>
      </c>
      <c r="O58" s="18" t="n">
        <v>0.25806769</v>
      </c>
      <c r="P58" s="20" t="n">
        <v>0.22074784</v>
      </c>
      <c r="Q58" s="18" t="n">
        <v>1.16849753</v>
      </c>
      <c r="R58" s="20" t="n">
        <v>0.50009348</v>
      </c>
    </row>
    <row r="59" spans="1:18">
      <c r="A59" s="15" t="s">
        <v>401</v>
      </c>
      <c r="B59" s="17" t="n">
        <v>2278</v>
      </c>
      <c r="C59" s="18">
        <f>(1893.0/B59*100)</f>
        <v/>
      </c>
      <c r="D59" s="19" t="n">
        <v>385</v>
      </c>
      <c r="E59" s="18" t="n">
        <v>73.44310668</v>
      </c>
      <c r="F59" s="20" t="n">
        <v>2.73316747</v>
      </c>
      <c r="G59" s="18" t="n">
        <v>22.76570494</v>
      </c>
      <c r="H59" s="20" t="n">
        <v>2.57022599</v>
      </c>
      <c r="I59" s="18" t="s">
        <v>349</v>
      </c>
      <c r="J59" s="20" t="s">
        <v>349</v>
      </c>
      <c r="K59" s="18" t="n">
        <v>2.09067104</v>
      </c>
      <c r="L59" s="20" t="n">
        <v>0.92578452</v>
      </c>
      <c r="M59" s="18" t="n">
        <v>0</v>
      </c>
      <c r="N59" s="20" t="n">
        <v>0</v>
      </c>
      <c r="O59" s="18" t="n">
        <v>0.33534762</v>
      </c>
      <c r="P59" s="20" t="n">
        <v>0.25327435</v>
      </c>
      <c r="Q59" s="18" t="n">
        <v>1.36516972</v>
      </c>
      <c r="R59" s="20" t="n">
        <v>1.02291191</v>
      </c>
    </row>
    <row r="60" spans="1:18">
      <c r="A60" s="15" t="s">
        <v>402</v>
      </c>
      <c r="B60" s="17" t="n">
        <v>2451</v>
      </c>
      <c r="C60" s="18">
        <f>(2059.0/B60*100)</f>
        <v/>
      </c>
      <c r="D60" s="19" t="n">
        <v>392</v>
      </c>
      <c r="E60" s="18" t="n">
        <v>51.04693312</v>
      </c>
      <c r="F60" s="20" t="n">
        <v>3.13800866</v>
      </c>
      <c r="G60" s="18" t="n">
        <v>37.95209729</v>
      </c>
      <c r="H60" s="20" t="n">
        <v>3.07283093</v>
      </c>
      <c r="I60" s="18" t="s">
        <v>349</v>
      </c>
      <c r="J60" s="20" t="s">
        <v>349</v>
      </c>
      <c r="K60" s="18" t="n">
        <v>6.14375187</v>
      </c>
      <c r="L60" s="20" t="n">
        <v>1.43708296</v>
      </c>
      <c r="M60" s="18" t="n">
        <v>0</v>
      </c>
      <c r="N60" s="20" t="n">
        <v>0</v>
      </c>
      <c r="O60" s="18" t="n">
        <v>1.6902613</v>
      </c>
      <c r="P60" s="20" t="n">
        <v>0.49782764</v>
      </c>
      <c r="Q60" s="18" t="n">
        <v>3.16695641</v>
      </c>
      <c r="R60" s="20" t="n">
        <v>1.00984809</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(2087.0/B63*100)</f>
        <v/>
      </c>
      <c r="D63" s="19" t="n">
        <v>424</v>
      </c>
      <c r="E63" s="18" t="n">
        <v>61.50698968</v>
      </c>
      <c r="F63" s="20" t="n">
        <v>2.6123033</v>
      </c>
      <c r="G63" s="18" t="n">
        <v>32.32194368</v>
      </c>
      <c r="H63" s="20" t="n">
        <v>2.40566449</v>
      </c>
      <c r="I63" s="18" t="s">
        <v>349</v>
      </c>
      <c r="J63" s="20" t="s">
        <v>349</v>
      </c>
      <c r="K63" s="18" t="n">
        <v>4.14023542</v>
      </c>
      <c r="L63" s="20" t="n">
        <v>0.88408423</v>
      </c>
      <c r="M63" s="18" t="n">
        <v>0</v>
      </c>
      <c r="N63" s="20" t="n">
        <v>0</v>
      </c>
      <c r="O63" s="18" t="n">
        <v>0</v>
      </c>
      <c r="P63" s="20" t="n">
        <v>0</v>
      </c>
      <c r="Q63" s="18" t="n">
        <v>2.03083123</v>
      </c>
      <c r="R63" s="20" t="n">
        <v>0.66591259</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(2201.0/B65*100)</f>
        <v/>
      </c>
      <c r="D65" s="19" t="n">
        <v>433</v>
      </c>
      <c r="E65" s="18" t="n">
        <v>53.80099395</v>
      </c>
      <c r="F65" s="20" t="n">
        <v>2.85900469</v>
      </c>
      <c r="G65" s="18" t="n">
        <v>39.43706025</v>
      </c>
      <c r="H65" s="20" t="n">
        <v>2.51758703</v>
      </c>
      <c r="I65" s="18" t="s">
        <v>349</v>
      </c>
      <c r="J65" s="20" t="s">
        <v>349</v>
      </c>
      <c r="K65" s="18" t="n">
        <v>5.68300056</v>
      </c>
      <c r="L65" s="20" t="n">
        <v>1.21105495</v>
      </c>
      <c r="M65" s="18" t="n">
        <v>0</v>
      </c>
      <c r="N65" s="20" t="n">
        <v>0</v>
      </c>
      <c r="O65" s="18" t="n">
        <v>0</v>
      </c>
      <c r="P65" s="20" t="n">
        <v>0</v>
      </c>
      <c r="Q65" s="18" t="n">
        <v>1.07894525</v>
      </c>
      <c r="R65" s="20" t="n">
        <v>0.48180805</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(2064.0/B69*100)</f>
        <v/>
      </c>
      <c r="D69" s="19" t="n">
        <v>402</v>
      </c>
      <c r="E69" s="18" t="n">
        <v>71.11998448</v>
      </c>
      <c r="F69" s="20" t="n">
        <v>2.33898505</v>
      </c>
      <c r="G69" s="18" t="n">
        <v>28.88001552</v>
      </c>
      <c r="H69" s="20" t="n">
        <v>2.33898505</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(2027.0/B74*100)</f>
        <v/>
      </c>
      <c r="D74" s="19" t="n">
        <v>426</v>
      </c>
      <c r="E74" s="18" t="n">
        <v>59.19897105</v>
      </c>
      <c r="F74" s="20" t="n">
        <v>2.75255531</v>
      </c>
      <c r="G74" s="18" t="n">
        <v>31.39334774</v>
      </c>
      <c r="H74" s="20" t="n">
        <v>2.62448039</v>
      </c>
      <c r="I74" s="18" t="s">
        <v>349</v>
      </c>
      <c r="J74" s="20" t="s">
        <v>349</v>
      </c>
      <c r="K74" s="18" t="n">
        <v>7.1009317</v>
      </c>
      <c r="L74" s="20" t="n">
        <v>1.45202267</v>
      </c>
      <c r="M74" s="18" t="n">
        <v>0</v>
      </c>
      <c r="N74" s="20" t="n">
        <v>0</v>
      </c>
      <c r="O74" s="18" t="n">
        <v>0</v>
      </c>
      <c r="P74" s="20" t="n">
        <v>0</v>
      </c>
      <c r="Q74" s="18" t="n">
        <v>2.30674951</v>
      </c>
      <c r="R74" s="20" t="n">
        <v>0.76152768</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(2542.0/B78*100)</f>
        <v/>
      </c>
      <c r="D78" s="19" t="n">
        <v>498</v>
      </c>
      <c r="E78" s="18" t="n">
        <v>29.8757026</v>
      </c>
      <c r="F78" s="20" t="n">
        <v>2.26533159</v>
      </c>
      <c r="G78" s="18" t="n">
        <v>70.1242974</v>
      </c>
      <c r="H78" s="20" t="n">
        <v>2.26533159</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870</v>
      </c>
      <c r="C79" s="18">
        <f>(723.0/B79*100)</f>
        <v/>
      </c>
      <c r="D79" s="19" t="n">
        <v>147</v>
      </c>
      <c r="E79" s="18" t="n">
        <v>42.24297234</v>
      </c>
      <c r="F79" s="20" t="n">
        <v>4.08252087</v>
      </c>
      <c r="G79" s="18" t="n">
        <v>49.75315494</v>
      </c>
      <c r="H79" s="20" t="n">
        <v>4.26796839</v>
      </c>
      <c r="I79" s="18" t="s">
        <v>349</v>
      </c>
      <c r="J79" s="20" t="s">
        <v>349</v>
      </c>
      <c r="K79" s="18" t="n">
        <v>7.31385871</v>
      </c>
      <c r="L79" s="20" t="n">
        <v>1.76861833</v>
      </c>
      <c r="M79" s="18" t="n">
        <v>0</v>
      </c>
      <c r="N79" s="20" t="n">
        <v>0</v>
      </c>
      <c r="O79" s="18" t="n">
        <v>0</v>
      </c>
      <c r="P79" s="20" t="n">
        <v>0</v>
      </c>
      <c r="Q79" s="18" t="n">
        <v>0.69001401</v>
      </c>
      <c r="R79" s="20" t="n">
        <v>0.68738157</v>
      </c>
    </row>
    <row r="80" spans="1:18">
      <c r="A80" s="15" t="s">
        <v>422</v>
      </c>
      <c r="B80" s="17" t="n">
        <v>4043</v>
      </c>
      <c r="C80" s="18">
        <f>(3384.0/B80*100)</f>
        <v/>
      </c>
      <c r="D80" s="19" t="n">
        <v>659</v>
      </c>
      <c r="E80" s="18" t="n">
        <v>54.84928872</v>
      </c>
      <c r="F80" s="20" t="n">
        <v>2.48459004</v>
      </c>
      <c r="G80" s="18" t="n">
        <v>44.97797128</v>
      </c>
      <c r="H80" s="20" t="n">
        <v>2.49619124</v>
      </c>
      <c r="I80" s="18" t="s">
        <v>349</v>
      </c>
      <c r="J80" s="20" t="s">
        <v>349</v>
      </c>
      <c r="K80" s="18" t="n">
        <v>0</v>
      </c>
      <c r="L80" s="20" t="n">
        <v>0</v>
      </c>
      <c r="M80" s="18" t="n">
        <v>0</v>
      </c>
      <c r="N80" s="20" t="n">
        <v>0</v>
      </c>
      <c r="O80" s="18" t="n">
        <v>0</v>
      </c>
      <c r="P80" s="20" t="n">
        <v>0</v>
      </c>
      <c r="Q80" s="18" t="n">
        <v>0.17274</v>
      </c>
      <c r="R80" s="20" t="n">
        <v>0.2343727</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(2228.0/B45*100)</f>
        <v/>
      </c>
      <c r="D45" s="19" t="n">
        <v>442</v>
      </c>
      <c r="E45" s="18" t="n">
        <v>64.51873596</v>
      </c>
      <c r="F45" s="20" t="n">
        <v>2.24921716</v>
      </c>
      <c r="G45" s="18" t="n">
        <v>14.41182186</v>
      </c>
      <c r="H45" s="20" t="n">
        <v>1.73339184</v>
      </c>
      <c r="I45" s="18" t="s">
        <v>349</v>
      </c>
      <c r="J45" s="20" t="s">
        <v>349</v>
      </c>
      <c r="K45" s="18" t="n">
        <v>9.071976319999999</v>
      </c>
      <c r="L45" s="20" t="n">
        <v>1.25613286</v>
      </c>
      <c r="M45" s="18" t="n">
        <v>0.15605849</v>
      </c>
      <c r="N45" s="20" t="n">
        <v>0.15852514</v>
      </c>
      <c r="O45" s="18" t="n">
        <v>0</v>
      </c>
      <c r="P45" s="20" t="n">
        <v>0</v>
      </c>
      <c r="Q45" s="18" t="n">
        <v>11.84140737</v>
      </c>
      <c r="R45" s="20" t="n">
        <v>1.47950811</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(2758.0/B49*100)</f>
        <v/>
      </c>
      <c r="D49" s="19" t="n">
        <v>573</v>
      </c>
      <c r="E49" s="18" t="n">
        <v>62.79757128</v>
      </c>
      <c r="F49" s="20" t="n">
        <v>2.36294743</v>
      </c>
      <c r="G49" s="18" t="n">
        <v>19.56154087</v>
      </c>
      <c r="H49" s="20" t="n">
        <v>1.98640498</v>
      </c>
      <c r="I49" s="18" t="s">
        <v>349</v>
      </c>
      <c r="J49" s="20" t="s">
        <v>349</v>
      </c>
      <c r="K49" s="18" t="n">
        <v>7.91744517</v>
      </c>
      <c r="L49" s="20" t="n">
        <v>1.19683243</v>
      </c>
      <c r="M49" s="18" t="n">
        <v>0.2258985</v>
      </c>
      <c r="N49" s="20" t="n">
        <v>0.22515838</v>
      </c>
      <c r="O49" s="18" t="n">
        <v>0</v>
      </c>
      <c r="P49" s="20" t="n">
        <v>0</v>
      </c>
      <c r="Q49" s="18" t="n">
        <v>9.49754418</v>
      </c>
      <c r="R49" s="20" t="n">
        <v>1.23987727</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(3103.0/B58*100)</f>
        <v/>
      </c>
      <c r="D58" s="19" t="n">
        <v>634</v>
      </c>
      <c r="E58" s="18" t="n">
        <v>76.44751282</v>
      </c>
      <c r="F58" s="20" t="n">
        <v>2.35991936</v>
      </c>
      <c r="G58" s="18" t="n">
        <v>10.28177329</v>
      </c>
      <c r="H58" s="20" t="n">
        <v>1.59449652</v>
      </c>
      <c r="I58" s="18" t="s">
        <v>349</v>
      </c>
      <c r="J58" s="20" t="s">
        <v>349</v>
      </c>
      <c r="K58" s="18" t="n">
        <v>6.95736085</v>
      </c>
      <c r="L58" s="20" t="n">
        <v>1.20108858</v>
      </c>
      <c r="M58" s="18" t="n">
        <v>0</v>
      </c>
      <c r="N58" s="20" t="n">
        <v>0</v>
      </c>
      <c r="O58" s="18" t="n">
        <v>0</v>
      </c>
      <c r="P58" s="20" t="n">
        <v>0</v>
      </c>
      <c r="Q58" s="18" t="n">
        <v>6.31335303</v>
      </c>
      <c r="R58" s="20" t="n">
        <v>1.27889378</v>
      </c>
    </row>
    <row r="59" spans="1:18">
      <c r="A59" s="15" t="s">
        <v>401</v>
      </c>
      <c r="B59" s="17" t="n">
        <v>2278</v>
      </c>
      <c r="C59" s="18">
        <f>(1893.0/B59*100)</f>
        <v/>
      </c>
      <c r="D59" s="19" t="n">
        <v>385</v>
      </c>
      <c r="E59" s="18" t="n">
        <v>77.12206873</v>
      </c>
      <c r="F59" s="20" t="n">
        <v>2.37535</v>
      </c>
      <c r="G59" s="18" t="n">
        <v>11.32820635</v>
      </c>
      <c r="H59" s="20" t="n">
        <v>1.82891452</v>
      </c>
      <c r="I59" s="18" t="s">
        <v>349</v>
      </c>
      <c r="J59" s="20" t="s">
        <v>349</v>
      </c>
      <c r="K59" s="18" t="n">
        <v>3.06273435</v>
      </c>
      <c r="L59" s="20" t="n">
        <v>1.04905706</v>
      </c>
      <c r="M59" s="18" t="n">
        <v>0</v>
      </c>
      <c r="N59" s="20" t="n">
        <v>0</v>
      </c>
      <c r="O59" s="18" t="n">
        <v>0</v>
      </c>
      <c r="P59" s="20" t="n">
        <v>0</v>
      </c>
      <c r="Q59" s="18" t="n">
        <v>8.48699057</v>
      </c>
      <c r="R59" s="20" t="n">
        <v>1.71372061</v>
      </c>
    </row>
    <row r="60" spans="1:18">
      <c r="A60" s="15" t="s">
        <v>402</v>
      </c>
      <c r="B60" s="17" t="n">
        <v>2451</v>
      </c>
      <c r="C60" s="18">
        <f>(2059.0/B60*100)</f>
        <v/>
      </c>
      <c r="D60" s="19" t="n">
        <v>392</v>
      </c>
      <c r="E60" s="18" t="n">
        <v>42.2496804</v>
      </c>
      <c r="F60" s="20" t="n">
        <v>2.75493457</v>
      </c>
      <c r="G60" s="18" t="n">
        <v>30.9427098</v>
      </c>
      <c r="H60" s="20" t="n">
        <v>2.89645923</v>
      </c>
      <c r="I60" s="18" t="s">
        <v>349</v>
      </c>
      <c r="J60" s="20" t="s">
        <v>349</v>
      </c>
      <c r="K60" s="18" t="n">
        <v>10.39075106</v>
      </c>
      <c r="L60" s="20" t="n">
        <v>2.05886501</v>
      </c>
      <c r="M60" s="18" t="n">
        <v>0.21476151</v>
      </c>
      <c r="N60" s="20" t="n">
        <v>0.21562884</v>
      </c>
      <c r="O60" s="18" t="n">
        <v>0</v>
      </c>
      <c r="P60" s="20" t="n">
        <v>0</v>
      </c>
      <c r="Q60" s="18" t="n">
        <v>16.20209723</v>
      </c>
      <c r="R60" s="20" t="n">
        <v>1.70916015</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(2087.0/B63*100)</f>
        <v/>
      </c>
      <c r="D63" s="19" t="n">
        <v>424</v>
      </c>
      <c r="E63" s="18" t="n">
        <v>49.13320474</v>
      </c>
      <c r="F63" s="20" t="n">
        <v>2.77520528</v>
      </c>
      <c r="G63" s="18" t="n">
        <v>18.04077029</v>
      </c>
      <c r="H63" s="20" t="n">
        <v>1.82930173</v>
      </c>
      <c r="I63" s="18" t="s">
        <v>349</v>
      </c>
      <c r="J63" s="20" t="s">
        <v>349</v>
      </c>
      <c r="K63" s="18" t="n">
        <v>7.73415532</v>
      </c>
      <c r="L63" s="20" t="n">
        <v>1.49633773</v>
      </c>
      <c r="M63" s="18" t="n">
        <v>0</v>
      </c>
      <c r="N63" s="20" t="n">
        <v>0</v>
      </c>
      <c r="O63" s="18" t="n">
        <v>0</v>
      </c>
      <c r="P63" s="20" t="n">
        <v>0</v>
      </c>
      <c r="Q63" s="18" t="n">
        <v>25.09186965</v>
      </c>
      <c r="R63" s="20" t="n">
        <v>2.15551888</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(2201.0/B65*100)</f>
        <v/>
      </c>
      <c r="D65" s="19" t="n">
        <v>433</v>
      </c>
      <c r="E65" s="18" t="n">
        <v>47.9426023</v>
      </c>
      <c r="F65" s="20" t="n">
        <v>2.60654999</v>
      </c>
      <c r="G65" s="18" t="n">
        <v>26.42712262</v>
      </c>
      <c r="H65" s="20" t="n">
        <v>2.17003801</v>
      </c>
      <c r="I65" s="18" t="s">
        <v>349</v>
      </c>
      <c r="J65" s="20" t="s">
        <v>349</v>
      </c>
      <c r="K65" s="18" t="n">
        <v>8.78834342</v>
      </c>
      <c r="L65" s="20" t="n">
        <v>1.38603956</v>
      </c>
      <c r="M65" s="18" t="n">
        <v>0.04299198</v>
      </c>
      <c r="N65" s="20" t="n">
        <v>0.04298325</v>
      </c>
      <c r="O65" s="18" t="n">
        <v>0</v>
      </c>
      <c r="P65" s="20" t="n">
        <v>0</v>
      </c>
      <c r="Q65" s="18" t="n">
        <v>16.79893968</v>
      </c>
      <c r="R65" s="20" t="n">
        <v>2.09291275</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(2064.0/B69*100)</f>
        <v/>
      </c>
      <c r="D69" s="19" t="n">
        <v>402</v>
      </c>
      <c r="E69" s="18" t="n">
        <v>69.61567506999999</v>
      </c>
      <c r="F69" s="20" t="n">
        <v>2.70090459</v>
      </c>
      <c r="G69" s="18" t="n">
        <v>30.1376808</v>
      </c>
      <c r="H69" s="20" t="n">
        <v>2.68578204</v>
      </c>
      <c r="I69" s="18" t="s">
        <v>349</v>
      </c>
      <c r="J69" s="20" t="s">
        <v>349</v>
      </c>
      <c r="K69" s="18" t="n">
        <v>0</v>
      </c>
      <c r="L69" s="20" t="n">
        <v>0</v>
      </c>
      <c r="M69" s="18" t="n">
        <v>0</v>
      </c>
      <c r="N69" s="20" t="n">
        <v>0</v>
      </c>
      <c r="O69" s="18" t="n">
        <v>0</v>
      </c>
      <c r="P69" s="20" t="n">
        <v>0</v>
      </c>
      <c r="Q69" s="18" t="n">
        <v>0.24664413</v>
      </c>
      <c r="R69" s="20" t="n">
        <v>0.24892753</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(2027.0/B74*100)</f>
        <v/>
      </c>
      <c r="D74" s="19" t="n">
        <v>426</v>
      </c>
      <c r="E74" s="18" t="n">
        <v>43.5455072</v>
      </c>
      <c r="F74" s="20" t="n">
        <v>2.65107655</v>
      </c>
      <c r="G74" s="18" t="n">
        <v>40.01601609</v>
      </c>
      <c r="H74" s="20" t="n">
        <v>2.50592316</v>
      </c>
      <c r="I74" s="18" t="s">
        <v>349</v>
      </c>
      <c r="J74" s="20" t="s">
        <v>349</v>
      </c>
      <c r="K74" s="18" t="n">
        <v>9.759993700000001</v>
      </c>
      <c r="L74" s="20" t="n">
        <v>1.6548201</v>
      </c>
      <c r="M74" s="18" t="n">
        <v>0</v>
      </c>
      <c r="N74" s="20" t="n">
        <v>0</v>
      </c>
      <c r="O74" s="18" t="n">
        <v>0</v>
      </c>
      <c r="P74" s="20" t="n">
        <v>0</v>
      </c>
      <c r="Q74" s="18" t="n">
        <v>6.678483</v>
      </c>
      <c r="R74" s="20" t="n">
        <v>1.20697735</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(2542.0/B78*100)</f>
        <v/>
      </c>
      <c r="D78" s="19" t="n">
        <v>498</v>
      </c>
      <c r="E78" s="18" t="n">
        <v>59.84911552</v>
      </c>
      <c r="F78" s="20" t="n">
        <v>2.57997456</v>
      </c>
      <c r="G78" s="18" t="n">
        <v>39.46882496</v>
      </c>
      <c r="H78" s="20" t="n">
        <v>2.58007798</v>
      </c>
      <c r="I78" s="18" t="s">
        <v>349</v>
      </c>
      <c r="J78" s="20" t="s">
        <v>349</v>
      </c>
      <c r="K78" s="18" t="n">
        <v>0</v>
      </c>
      <c r="L78" s="20" t="n">
        <v>0</v>
      </c>
      <c r="M78" s="18" t="n">
        <v>0</v>
      </c>
      <c r="N78" s="20" t="n">
        <v>0</v>
      </c>
      <c r="O78" s="18" t="n">
        <v>0</v>
      </c>
      <c r="P78" s="20" t="n">
        <v>0</v>
      </c>
      <c r="Q78" s="18" t="n">
        <v>0.68205952</v>
      </c>
      <c r="R78" s="20" t="n">
        <v>0.31772328</v>
      </c>
    </row>
    <row customHeight="1" ht="25" r="79" spans="1:18">
      <c r="A79" s="15" t="s">
        <v>421</v>
      </c>
      <c r="B79" s="17" t="n">
        <v>870</v>
      </c>
      <c r="C79" s="18">
        <f>(723.0/B79*100)</f>
        <v/>
      </c>
      <c r="D79" s="19" t="n">
        <v>147</v>
      </c>
      <c r="E79" s="18" t="n">
        <v>45.03871368</v>
      </c>
      <c r="F79" s="20" t="n">
        <v>4.91651613</v>
      </c>
      <c r="G79" s="18" t="n">
        <v>29.32770284</v>
      </c>
      <c r="H79" s="20" t="n">
        <v>4.71549093</v>
      </c>
      <c r="I79" s="18" t="s">
        <v>349</v>
      </c>
      <c r="J79" s="20" t="s">
        <v>349</v>
      </c>
      <c r="K79" s="18" t="n">
        <v>10.91235061</v>
      </c>
      <c r="L79" s="20" t="n">
        <v>2.08588018</v>
      </c>
      <c r="M79" s="18" t="n">
        <v>0</v>
      </c>
      <c r="N79" s="20" t="n">
        <v>0</v>
      </c>
      <c r="O79" s="18" t="n">
        <v>0</v>
      </c>
      <c r="P79" s="20" t="n">
        <v>0</v>
      </c>
      <c r="Q79" s="18" t="n">
        <v>14.72123287</v>
      </c>
      <c r="R79" s="20" t="n">
        <v>3.73173899</v>
      </c>
    </row>
    <row r="80" spans="1:18">
      <c r="A80" s="15" t="s">
        <v>422</v>
      </c>
      <c r="B80" s="17" t="n">
        <v>4043</v>
      </c>
      <c r="C80" s="18">
        <f>(4043.0/B80*100)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7163</v>
      </c>
      <c r="C7" s="18">
        <f>(7163.0/B7*100)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3443</v>
      </c>
      <c r="C8" s="18">
        <f>(3443.0/B8*100)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4752</v>
      </c>
      <c r="C9" s="18">
        <f>(4752.0/B9*100)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10022</v>
      </c>
      <c r="C10" s="18">
        <f>(10022.0/B10*100)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3500</v>
      </c>
      <c r="C11" s="18">
        <f>(3500.0/B11*100)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3422</v>
      </c>
      <c r="C12" s="18">
        <f>(3422.0/B12*100)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3602</v>
      </c>
      <c r="C13" s="18">
        <f>(3602.0/B13*100)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2788</v>
      </c>
      <c r="C14" s="18">
        <f>(2788.0/B14*100)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2863</v>
      </c>
      <c r="C15" s="18">
        <f>(2863.0/B15*100)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3111</v>
      </c>
      <c r="C16" s="18">
        <f>(3111.0/B16*100)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3197</v>
      </c>
      <c r="C17" s="18">
        <f>(3197.0/B17*100)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2706</v>
      </c>
      <c r="C18" s="18">
        <f>(2706.0/B18*100)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2850</v>
      </c>
      <c r="C19" s="18">
        <f>(2850.0/B19*100)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1741</v>
      </c>
      <c r="C20" s="18">
        <f>(1741.0/B20*100)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2833</v>
      </c>
      <c r="C21" s="18">
        <f>(2833.0/B21*100)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3667</v>
      </c>
      <c r="C22" s="18">
        <f>(3667.0/B22*100)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5792</v>
      </c>
      <c r="C23" s="18">
        <f>(5792.0/B23*100)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3309</v>
      </c>
      <c r="C24" s="18">
        <f>(3309.0/B24*100)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2669</v>
      </c>
      <c r="C25" s="18">
        <f>(2669.0/B25*100)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2419</v>
      </c>
      <c r="C26" s="18">
        <f>(2419.0/B26*100)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2683</v>
      </c>
      <c r="C27" s="18">
        <f>(2683.0/B27*100)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3803</v>
      </c>
      <c r="C28" s="18">
        <f>(3803.0/B28*100)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2700</v>
      </c>
      <c r="C29" s="18">
        <f>(2700.0/B29*100)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2257</v>
      </c>
      <c r="C30" s="18">
        <f>(2257.0/B30*100)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2706</v>
      </c>
      <c r="C31" s="18">
        <f>(2706.0/B31*100)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2209</v>
      </c>
      <c r="C32" s="18">
        <f>(2209.0/B32*100)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3651</v>
      </c>
      <c r="C33" s="18">
        <f>(3651.0/B33*100)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3035</v>
      </c>
      <c r="C34" s="18">
        <f>(3035.0/B34*100)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2901</v>
      </c>
      <c r="C35" s="18">
        <f>(2901.0/B35*100)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3404</v>
      </c>
      <c r="C36" s="18">
        <f>(3404.0/B36*100)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2731</v>
      </c>
      <c r="C37" s="18">
        <f>(2731.0/B37*100)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2807</v>
      </c>
      <c r="C38" s="18">
        <f>(2807.0/B38*100)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2938</v>
      </c>
      <c r="C39" s="18">
        <f>(2938.0/B39*100)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6922</v>
      </c>
      <c r="C40" s="18">
        <f>(6922.0/B40*100)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2854</v>
      </c>
      <c r="C41" s="18">
        <f>(2854.0/B41*100)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2691</v>
      </c>
      <c r="C44" s="18">
        <f>(2691.0/B44*100)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2670</v>
      </c>
      <c r="C45" s="18">
        <f>(2228.0/B45*100)</f>
        <v/>
      </c>
      <c r="D45" s="19" t="n">
        <v>442</v>
      </c>
      <c r="E45" s="18" t="n">
        <v>84.2438866</v>
      </c>
      <c r="F45" s="20" t="n">
        <v>1.82550341</v>
      </c>
      <c r="G45" s="18" t="n">
        <v>4.55451695</v>
      </c>
      <c r="H45" s="20" t="n">
        <v>1.19013642</v>
      </c>
      <c r="I45" s="18" t="s">
        <v>349</v>
      </c>
      <c r="J45" s="20" t="s">
        <v>349</v>
      </c>
      <c r="K45" s="18" t="n">
        <v>10.3702645</v>
      </c>
      <c r="L45" s="20" t="n">
        <v>1.35598806</v>
      </c>
      <c r="M45" s="18" t="n">
        <v>0.59240061</v>
      </c>
      <c r="N45" s="20" t="n">
        <v>0.42056334</v>
      </c>
      <c r="O45" s="18" t="n">
        <v>0.23893133</v>
      </c>
      <c r="P45" s="20" t="n">
        <v>0.24513061</v>
      </c>
      <c r="Q45" s="18" t="n">
        <v>0</v>
      </c>
      <c r="R45" s="20" t="n">
        <v>0</v>
      </c>
    </row>
    <row r="46" spans="1:18">
      <c r="A46" s="15" t="s">
        <v>388</v>
      </c>
      <c r="B46" s="17" t="n">
        <v>12073</v>
      </c>
      <c r="C46" s="18">
        <f>(12073.0/B46*100)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2823</v>
      </c>
      <c r="C47" s="18">
        <f>(2823.0/B47*100)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4682</v>
      </c>
      <c r="C48" s="18">
        <f>(4682.0/B48*100)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3331</v>
      </c>
      <c r="C49" s="18">
        <f>(2758.0/B49*100)</f>
        <v/>
      </c>
      <c r="D49" s="19" t="n">
        <v>573</v>
      </c>
      <c r="E49" s="18" t="n">
        <v>86.49490025</v>
      </c>
      <c r="F49" s="20" t="n">
        <v>1.52773016</v>
      </c>
      <c r="G49" s="18" t="n">
        <v>4.77373417</v>
      </c>
      <c r="H49" s="20" t="n">
        <v>1.04036327</v>
      </c>
      <c r="I49" s="18" t="s">
        <v>349</v>
      </c>
      <c r="J49" s="20" t="s">
        <v>349</v>
      </c>
      <c r="K49" s="18" t="n">
        <v>8.50546709</v>
      </c>
      <c r="L49" s="20" t="n">
        <v>1.27421347</v>
      </c>
      <c r="M49" s="18" t="n">
        <v>0.2258985</v>
      </c>
      <c r="N49" s="20" t="n">
        <v>0.22515838</v>
      </c>
      <c r="O49" s="18" t="n">
        <v>0</v>
      </c>
      <c r="P49" s="20" t="n">
        <v>0</v>
      </c>
      <c r="Q49" s="18" t="n">
        <v>0</v>
      </c>
      <c r="R49" s="20" t="n">
        <v>0</v>
      </c>
    </row>
    <row r="50" spans="1:18">
      <c r="A50" s="15" t="s">
        <v>392</v>
      </c>
      <c r="B50" s="17" t="n">
        <v>6158</v>
      </c>
      <c r="C50" s="18">
        <f>(6158.0/B50*100)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3494</v>
      </c>
      <c r="C51" s="18">
        <f>(3494.0/B51*100)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3013</v>
      </c>
      <c r="C52" s="18">
        <f>(3013.0/B52*100)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2760</v>
      </c>
      <c r="C53" s="18">
        <f>(2760.0/B53*100)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2474</v>
      </c>
      <c r="C54" s="18">
        <f>(2474.0/B54*100)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2557</v>
      </c>
      <c r="C55" s="18">
        <f>(2557.0/B55*100)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2675</v>
      </c>
      <c r="C56" s="18">
        <f>(2675.0/B56*100)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3343</v>
      </c>
      <c r="C57" s="18">
        <f>(3343.0/B57*100)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3737</v>
      </c>
      <c r="C58" s="18">
        <f>(3103.0/B58*100)</f>
        <v/>
      </c>
      <c r="D58" s="19" t="n">
        <v>634</v>
      </c>
      <c r="E58" s="18" t="n">
        <v>83.81354066</v>
      </c>
      <c r="F58" s="20" t="n">
        <v>1.84764515</v>
      </c>
      <c r="G58" s="18" t="n">
        <v>7.86020868</v>
      </c>
      <c r="H58" s="20" t="n">
        <v>1.48220171</v>
      </c>
      <c r="I58" s="18" t="s">
        <v>349</v>
      </c>
      <c r="J58" s="20" t="s">
        <v>349</v>
      </c>
      <c r="K58" s="18" t="n">
        <v>8.32625067</v>
      </c>
      <c r="L58" s="20" t="n">
        <v>1.28844971</v>
      </c>
      <c r="M58" s="18" t="n">
        <v>0</v>
      </c>
      <c r="N58" s="20" t="n">
        <v>0</v>
      </c>
      <c r="O58" s="18" t="n">
        <v>0</v>
      </c>
      <c r="P58" s="20" t="n">
        <v>0</v>
      </c>
      <c r="Q58" s="18" t="n">
        <v>0</v>
      </c>
      <c r="R58" s="20" t="n">
        <v>0</v>
      </c>
    </row>
    <row r="59" spans="1:18">
      <c r="A59" s="15" t="s">
        <v>401</v>
      </c>
      <c r="B59" s="17" t="n">
        <v>2278</v>
      </c>
      <c r="C59" s="18">
        <f>(1893.0/B59*100)</f>
        <v/>
      </c>
      <c r="D59" s="19" t="n">
        <v>385</v>
      </c>
      <c r="E59" s="18" t="n">
        <v>92.40321378</v>
      </c>
      <c r="F59" s="20" t="n">
        <v>1.59238056</v>
      </c>
      <c r="G59" s="18" t="n">
        <v>3.99063329</v>
      </c>
      <c r="H59" s="20" t="n">
        <v>1.2500907</v>
      </c>
      <c r="I59" s="18" t="s">
        <v>349</v>
      </c>
      <c r="J59" s="20" t="s">
        <v>349</v>
      </c>
      <c r="K59" s="18" t="n">
        <v>3.60615293</v>
      </c>
      <c r="L59" s="20" t="n">
        <v>1.11957819</v>
      </c>
      <c r="M59" s="18" t="n">
        <v>0</v>
      </c>
      <c r="N59" s="20" t="n">
        <v>0</v>
      </c>
      <c r="O59" s="18" t="n">
        <v>0</v>
      </c>
      <c r="P59" s="20" t="n">
        <v>0</v>
      </c>
      <c r="Q59" s="18" t="n">
        <v>0</v>
      </c>
      <c r="R59" s="20" t="n">
        <v>0</v>
      </c>
    </row>
    <row r="60" spans="1:18">
      <c r="A60" s="15" t="s">
        <v>402</v>
      </c>
      <c r="B60" s="17" t="n">
        <v>2451</v>
      </c>
      <c r="C60" s="18">
        <f>(2059.0/B60*100)</f>
        <v/>
      </c>
      <c r="D60" s="19" t="n">
        <v>392</v>
      </c>
      <c r="E60" s="18" t="n">
        <v>84.38460194</v>
      </c>
      <c r="F60" s="20" t="n">
        <v>2.06129983</v>
      </c>
      <c r="G60" s="18" t="n">
        <v>3.87664411</v>
      </c>
      <c r="H60" s="20" t="n">
        <v>0.9988347400000001</v>
      </c>
      <c r="I60" s="18" t="s">
        <v>349</v>
      </c>
      <c r="J60" s="20" t="s">
        <v>349</v>
      </c>
      <c r="K60" s="18" t="n">
        <v>11.73875394</v>
      </c>
      <c r="L60" s="20" t="n">
        <v>2.04697335</v>
      </c>
      <c r="M60" s="18" t="n">
        <v>0</v>
      </c>
      <c r="N60" s="20" t="n">
        <v>0</v>
      </c>
      <c r="O60" s="18" t="n">
        <v>0</v>
      </c>
      <c r="P60" s="20" t="n">
        <v>0</v>
      </c>
      <c r="Q60" s="18" t="n">
        <v>0</v>
      </c>
      <c r="R60" s="20" t="n">
        <v>0</v>
      </c>
    </row>
    <row r="61" spans="1:18">
      <c r="A61" s="15" t="s">
        <v>403</v>
      </c>
      <c r="B61" s="17" t="n">
        <v>3201</v>
      </c>
      <c r="C61" s="18">
        <f>(3201.0/B61*100)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2230</v>
      </c>
      <c r="C62" s="18">
        <f>(2230.0/B62*100)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2511</v>
      </c>
      <c r="C63" s="18">
        <f>(2087.0/B63*100)</f>
        <v/>
      </c>
      <c r="D63" s="19" t="n">
        <v>424</v>
      </c>
      <c r="E63" s="18" t="n">
        <v>83.32979020000001</v>
      </c>
      <c r="F63" s="20" t="n">
        <v>2.18905198</v>
      </c>
      <c r="G63" s="18" t="n">
        <v>7.81719338</v>
      </c>
      <c r="H63" s="20" t="n">
        <v>1.58251464</v>
      </c>
      <c r="I63" s="18" t="s">
        <v>349</v>
      </c>
      <c r="J63" s="20" t="s">
        <v>349</v>
      </c>
      <c r="K63" s="18" t="n">
        <v>8.853016419999999</v>
      </c>
      <c r="L63" s="20" t="n">
        <v>1.60931176</v>
      </c>
      <c r="M63" s="18" t="n">
        <v>0</v>
      </c>
      <c r="N63" s="20" t="n">
        <v>0</v>
      </c>
      <c r="O63" s="18" t="n">
        <v>0</v>
      </c>
      <c r="P63" s="20" t="n">
        <v>0</v>
      </c>
      <c r="Q63" s="18" t="n">
        <v>0</v>
      </c>
      <c r="R63" s="20" t="n">
        <v>0</v>
      </c>
    </row>
    <row r="64" spans="1:18">
      <c r="A64" s="15" t="s">
        <v>406</v>
      </c>
      <c r="B64" s="17" t="n">
        <v>1790</v>
      </c>
      <c r="C64" s="18">
        <f>(1790.0/B64*100)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2634</v>
      </c>
      <c r="C65" s="18">
        <f>(2201.0/B65*100)</f>
        <v/>
      </c>
      <c r="D65" s="19" t="n">
        <v>433</v>
      </c>
      <c r="E65" s="18" t="n">
        <v>85.19841212999999</v>
      </c>
      <c r="F65" s="20" t="n">
        <v>1.89468447</v>
      </c>
      <c r="G65" s="18" t="n">
        <v>5.37614636</v>
      </c>
      <c r="H65" s="20" t="n">
        <v>1.10987313</v>
      </c>
      <c r="I65" s="18" t="s">
        <v>349</v>
      </c>
      <c r="J65" s="20" t="s">
        <v>349</v>
      </c>
      <c r="K65" s="18" t="n">
        <v>9.425441510000001</v>
      </c>
      <c r="L65" s="20" t="n">
        <v>1.49532293</v>
      </c>
      <c r="M65" s="18" t="n">
        <v>0</v>
      </c>
      <c r="N65" s="20" t="n">
        <v>0</v>
      </c>
      <c r="O65" s="18" t="n">
        <v>0</v>
      </c>
      <c r="P65" s="20" t="n">
        <v>0</v>
      </c>
      <c r="Q65" s="18" t="n">
        <v>0</v>
      </c>
      <c r="R65" s="20" t="n">
        <v>0</v>
      </c>
    </row>
    <row r="66" spans="1:18">
      <c r="A66" s="15" t="s">
        <v>408</v>
      </c>
      <c r="B66" s="17" t="n">
        <v>2771</v>
      </c>
      <c r="C66" s="18">
        <f>(2771.0/B66*100)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3460</v>
      </c>
      <c r="C67" s="18">
        <f>(3460.0/B67*100)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6034</v>
      </c>
      <c r="C68" s="18">
        <f>(6034.0/B68*100)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2466</v>
      </c>
      <c r="C69" s="18">
        <f>(2064.0/B69*100)</f>
        <v/>
      </c>
      <c r="D69" s="19" t="n">
        <v>402</v>
      </c>
      <c r="E69" s="18" t="n">
        <v>93.48690388</v>
      </c>
      <c r="F69" s="20" t="n">
        <v>1.26628198</v>
      </c>
      <c r="G69" s="18" t="n">
        <v>6.51309612</v>
      </c>
      <c r="H69" s="20" t="n">
        <v>1.26628198</v>
      </c>
      <c r="I69" s="18" t="s">
        <v>349</v>
      </c>
      <c r="J69" s="20" t="s">
        <v>349</v>
      </c>
      <c r="K69" s="18" t="n">
        <v>0</v>
      </c>
      <c r="L69" s="20" t="n">
        <v>0</v>
      </c>
      <c r="M69" s="18" t="n">
        <v>0</v>
      </c>
      <c r="N69" s="20" t="n">
        <v>0</v>
      </c>
      <c r="O69" s="18" t="n">
        <v>0</v>
      </c>
      <c r="P69" s="20" t="n">
        <v>0</v>
      </c>
      <c r="Q69" s="18" t="n">
        <v>0</v>
      </c>
      <c r="R69" s="20" t="n">
        <v>0</v>
      </c>
    </row>
    <row r="70" spans="1:18">
      <c r="A70" s="15" t="s">
        <v>412</v>
      </c>
      <c r="B70" s="17" t="n">
        <v>3107</v>
      </c>
      <c r="C70" s="18">
        <f>(3107.0/B70*100)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2973</v>
      </c>
      <c r="C71" s="18">
        <f>(2973.0/B71*100)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3819</v>
      </c>
      <c r="C72" s="18">
        <f>(3819.0/B72*100)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4652</v>
      </c>
      <c r="C73" s="18">
        <f>(4652.0/B73*100)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2453</v>
      </c>
      <c r="C74" s="18">
        <f>(2027.0/B74*100)</f>
        <v/>
      </c>
      <c r="D74" s="19" t="n">
        <v>426</v>
      </c>
      <c r="E74" s="18" t="n">
        <v>79.58859844</v>
      </c>
      <c r="F74" s="20" t="n">
        <v>1.96640499</v>
      </c>
      <c r="G74" s="18" t="n">
        <v>9.63869534</v>
      </c>
      <c r="H74" s="20" t="n">
        <v>1.63596359</v>
      </c>
      <c r="I74" s="18" t="s">
        <v>349</v>
      </c>
      <c r="J74" s="20" t="s">
        <v>349</v>
      </c>
      <c r="K74" s="18" t="n">
        <v>10.77270622</v>
      </c>
      <c r="L74" s="20" t="n">
        <v>1.78030382</v>
      </c>
      <c r="M74" s="18" t="n">
        <v>0</v>
      </c>
      <c r="N74" s="20" t="n">
        <v>0</v>
      </c>
      <c r="O74" s="18" t="n">
        <v>0</v>
      </c>
      <c r="P74" s="20" t="n">
        <v>0</v>
      </c>
      <c r="Q74" s="18" t="n">
        <v>0</v>
      </c>
      <c r="R74" s="20" t="n">
        <v>0</v>
      </c>
    </row>
    <row r="75" spans="1:18">
      <c r="A75" s="15" t="s">
        <v>417</v>
      </c>
      <c r="B75" s="17" t="n">
        <v>2969</v>
      </c>
      <c r="C75" s="18">
        <f>(2969.0/B75*100)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7115</v>
      </c>
      <c r="C76" s="18">
        <f>(7115.0/B76*100)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3154</v>
      </c>
      <c r="C77" s="18">
        <f>(3154.0/B77*100)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3040</v>
      </c>
      <c r="C78" s="18">
        <f>(2542.0/B78*100)</f>
        <v/>
      </c>
      <c r="D78" s="19" t="n">
        <v>498</v>
      </c>
      <c r="E78" s="18" t="n">
        <v>0</v>
      </c>
      <c r="F78" s="20" t="n">
        <v>0</v>
      </c>
      <c r="G78" s="18" t="n">
        <v>0</v>
      </c>
      <c r="H78" s="20" t="n">
        <v>0</v>
      </c>
      <c r="I78" s="18" t="s">
        <v>349</v>
      </c>
      <c r="J78" s="20" t="s">
        <v>349</v>
      </c>
      <c r="K78" s="18" t="n">
        <v>0</v>
      </c>
      <c r="L78" s="20" t="n">
        <v>0</v>
      </c>
      <c r="M78" s="18" t="n">
        <v>100</v>
      </c>
      <c r="N78" s="20" t="n">
        <v>0</v>
      </c>
      <c r="O78" s="18" t="n">
        <v>0</v>
      </c>
      <c r="P78" s="20" t="n">
        <v>0</v>
      </c>
      <c r="Q78" s="18" t="n">
        <v>0</v>
      </c>
      <c r="R78" s="20" t="n">
        <v>0</v>
      </c>
    </row>
    <row customHeight="1" ht="25" r="79" spans="1:18">
      <c r="A79" s="15" t="s">
        <v>421</v>
      </c>
      <c r="B79" s="17" t="n">
        <v>870</v>
      </c>
      <c r="C79" s="18">
        <f>(723.0/B79*100)</f>
        <v/>
      </c>
      <c r="D79" s="19" t="n">
        <v>147</v>
      </c>
      <c r="E79" s="18" t="n">
        <v>78.3788806</v>
      </c>
      <c r="F79" s="20" t="n">
        <v>3.24538547</v>
      </c>
      <c r="G79" s="18" t="n">
        <v>8.87499601</v>
      </c>
      <c r="H79" s="20" t="n">
        <v>2.62547428</v>
      </c>
      <c r="I79" s="18" t="s">
        <v>349</v>
      </c>
      <c r="J79" s="20" t="s">
        <v>349</v>
      </c>
      <c r="K79" s="18" t="n">
        <v>12.74612339</v>
      </c>
      <c r="L79" s="20" t="n">
        <v>2.18797068</v>
      </c>
      <c r="M79" s="18" t="n">
        <v>0</v>
      </c>
      <c r="N79" s="20" t="n">
        <v>0</v>
      </c>
      <c r="O79" s="18" t="n">
        <v>0</v>
      </c>
      <c r="P79" s="20" t="n">
        <v>0</v>
      </c>
      <c r="Q79" s="18" t="n">
        <v>0</v>
      </c>
      <c r="R79" s="20" t="n">
        <v>0</v>
      </c>
    </row>
    <row r="80" spans="1:18">
      <c r="A80" s="15" t="s">
        <v>422</v>
      </c>
      <c r="B80" s="17" t="n">
        <v>4043</v>
      </c>
      <c r="C80" s="18">
        <f>(3384.0/B80*100)</f>
        <v/>
      </c>
      <c r="D80" s="19" t="n">
        <v>659</v>
      </c>
      <c r="E80" s="18" t="n">
        <v>87.65950168000001</v>
      </c>
      <c r="F80" s="20" t="n">
        <v>1.87472602</v>
      </c>
      <c r="G80" s="18" t="n">
        <v>12.33369896</v>
      </c>
      <c r="H80" s="20" t="n">
        <v>1.87331274</v>
      </c>
      <c r="I80" s="18" t="s">
        <v>349</v>
      </c>
      <c r="J80" s="20" t="s">
        <v>349</v>
      </c>
      <c r="K80" s="18" t="n">
        <v>0.00679936</v>
      </c>
      <c r="L80" s="20" t="n">
        <v>0.00690997</v>
      </c>
      <c r="M80" s="18" t="n">
        <v>0</v>
      </c>
      <c r="N80" s="20" t="n">
        <v>0</v>
      </c>
      <c r="O80" s="18" t="n">
        <v>0</v>
      </c>
      <c r="P80" s="20" t="n">
        <v>0</v>
      </c>
      <c r="Q80" s="18" t="n">
        <v>0</v>
      </c>
      <c r="R80" s="20" t="n">
        <v>0</v>
      </c>
    </row>
    <row r="81" spans="1:18">
      <c r="A81" s="21" t="s">
        <v>423</v>
      </c>
      <c r="B81" s="17" t="n">
        <v>4698</v>
      </c>
      <c r="C81" s="18">
        <f>(4698.0/B81*100)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166</vt:i4>
      </vt:variant>
    </vt:vector>
  </ns0:HeadingPairs>
  <ns0:TitlesOfParts>
    <vt:vector xmlns:vt="http://schemas.openxmlformats.org/officeDocument/2006/docPropsVTypes" baseType="lpstr" size="166">
      <vt:lpstr>Table of Contents</vt:lpstr>
      <vt:lpstr>CM033Q01S</vt:lpstr>
      <vt:lpstr>CM474Q01S</vt:lpstr>
      <vt:lpstr>DM155Q02C</vt:lpstr>
      <vt:lpstr>CM155Q01S</vt:lpstr>
      <vt:lpstr>DM155Q03C</vt:lpstr>
      <vt:lpstr>CM155Q04S</vt:lpstr>
      <vt:lpstr>CM411Q01S</vt:lpstr>
      <vt:lpstr>CM411Q02S</vt:lpstr>
      <vt:lpstr>CM803Q01S</vt:lpstr>
      <vt:lpstr>CM442Q02S</vt:lpstr>
      <vt:lpstr>DM462Q01C</vt:lpstr>
      <vt:lpstr>CM034Q01S</vt:lpstr>
      <vt:lpstr>CM305Q01S</vt:lpstr>
      <vt:lpstr>CM496Q01S</vt:lpstr>
      <vt:lpstr>CM496Q02S</vt:lpstr>
      <vt:lpstr>CM423Q01S</vt:lpstr>
      <vt:lpstr>CM192Q01S</vt:lpstr>
      <vt:lpstr>DM406Q01C</vt:lpstr>
      <vt:lpstr>DM406Q02C</vt:lpstr>
      <vt:lpstr>CM603Q01S</vt:lpstr>
      <vt:lpstr>CM571Q01S</vt:lpstr>
      <vt:lpstr>CM564Q01S</vt:lpstr>
      <vt:lpstr>CM564Q02S</vt:lpstr>
      <vt:lpstr>CM447Q01S</vt:lpstr>
      <vt:lpstr>CM273Q01S</vt:lpstr>
      <vt:lpstr>CM408Q01S</vt:lpstr>
      <vt:lpstr>CM420Q01S</vt:lpstr>
      <vt:lpstr>CM446Q01S</vt:lpstr>
      <vt:lpstr>DM446Q02C</vt:lpstr>
      <vt:lpstr>CM559Q01S</vt:lpstr>
      <vt:lpstr>DM828Q02C</vt:lpstr>
      <vt:lpstr>CM828Q03S</vt:lpstr>
      <vt:lpstr>CM464Q01S</vt:lpstr>
      <vt:lpstr>CM800Q01S</vt:lpstr>
      <vt:lpstr>CM982Q01S</vt:lpstr>
      <vt:lpstr>CM982Q02S</vt:lpstr>
      <vt:lpstr>CM982Q03S</vt:lpstr>
      <vt:lpstr>CM982Q04S</vt:lpstr>
      <vt:lpstr>CM992Q01S</vt:lpstr>
      <vt:lpstr>CM992Q02S</vt:lpstr>
      <vt:lpstr>DM992Q03C</vt:lpstr>
      <vt:lpstr>CM915Q01S</vt:lpstr>
      <vt:lpstr>CM915Q02S</vt:lpstr>
      <vt:lpstr>CM906Q01S</vt:lpstr>
      <vt:lpstr>DM906Q02C</vt:lpstr>
      <vt:lpstr>DM00KQ02C</vt:lpstr>
      <vt:lpstr>CM909Q01S</vt:lpstr>
      <vt:lpstr>CM909Q02S</vt:lpstr>
      <vt:lpstr>CM909Q03S</vt:lpstr>
      <vt:lpstr>CM949Q01S</vt:lpstr>
      <vt:lpstr>CM949Q02S</vt:lpstr>
      <vt:lpstr>DM949Q03C</vt:lpstr>
      <vt:lpstr>CM00GQ01S</vt:lpstr>
      <vt:lpstr>DM955Q01C</vt:lpstr>
      <vt:lpstr>DM955Q02C</vt:lpstr>
      <vt:lpstr>CM955Q03S</vt:lpstr>
      <vt:lpstr>DM998Q02C</vt:lpstr>
      <vt:lpstr>CM998Q04S</vt:lpstr>
      <vt:lpstr>CM905Q01S</vt:lpstr>
      <vt:lpstr>DM905Q02C</vt:lpstr>
      <vt:lpstr>CM919Q01S</vt:lpstr>
      <vt:lpstr>CM919Q02S</vt:lpstr>
      <vt:lpstr>CM954Q01S</vt:lpstr>
      <vt:lpstr>DM954Q02C</vt:lpstr>
      <vt:lpstr>CM954Q04S</vt:lpstr>
      <vt:lpstr>CM943Q01S</vt:lpstr>
      <vt:lpstr>CM943Q02S</vt:lpstr>
      <vt:lpstr>DM953Q02C</vt:lpstr>
      <vt:lpstr>CM953Q03S</vt:lpstr>
      <vt:lpstr>DM953Q04C</vt:lpstr>
      <vt:lpstr>CM948Q01S</vt:lpstr>
      <vt:lpstr>CM948Q02S</vt:lpstr>
      <vt:lpstr>CM948Q03S</vt:lpstr>
      <vt:lpstr>CM936Q01S</vt:lpstr>
      <vt:lpstr>DM936Q02C</vt:lpstr>
      <vt:lpstr>DM961Q02C</vt:lpstr>
      <vt:lpstr>CM961Q03S</vt:lpstr>
      <vt:lpstr>DM961Q05C</vt:lpstr>
      <vt:lpstr>CM939Q01S</vt:lpstr>
      <vt:lpstr>CM939Q02S</vt:lpstr>
      <vt:lpstr>CM967Q01S</vt:lpstr>
      <vt:lpstr>CM967Q03S</vt:lpstr>
      <vt:lpstr>PM033Q01S</vt:lpstr>
      <vt:lpstr>PM474Q01</vt:lpstr>
      <vt:lpstr>PM155Q02</vt:lpstr>
      <vt:lpstr>PM155Q01</vt:lpstr>
      <vt:lpstr>PM155Q03</vt:lpstr>
      <vt:lpstr>PM155Q04S</vt:lpstr>
      <vt:lpstr>PM411Q01</vt:lpstr>
      <vt:lpstr>PM411Q02S</vt:lpstr>
      <vt:lpstr>PM803Q01S</vt:lpstr>
      <vt:lpstr>PM442Q02</vt:lpstr>
      <vt:lpstr>PM462Q01</vt:lpstr>
      <vt:lpstr>PM034Q01S</vt:lpstr>
      <vt:lpstr>PM305Q01S</vt:lpstr>
      <vt:lpstr>PM496Q01S</vt:lpstr>
      <vt:lpstr>PM496Q02</vt:lpstr>
      <vt:lpstr>PM423Q01S</vt:lpstr>
      <vt:lpstr>PM192Q01S</vt:lpstr>
      <vt:lpstr>PM406Q01</vt:lpstr>
      <vt:lpstr>PM406Q02</vt:lpstr>
      <vt:lpstr>PM603Q01S</vt:lpstr>
      <vt:lpstr>PM571Q01S</vt:lpstr>
      <vt:lpstr>PM564Q01S</vt:lpstr>
      <vt:lpstr>PM564Q02S</vt:lpstr>
      <vt:lpstr>PM447Q01S</vt:lpstr>
      <vt:lpstr>PM273Q01S</vt:lpstr>
      <vt:lpstr>PM408Q01S</vt:lpstr>
      <vt:lpstr>PM420Q01S</vt:lpstr>
      <vt:lpstr>PM446Q01</vt:lpstr>
      <vt:lpstr>PM446Q02</vt:lpstr>
      <vt:lpstr>PM559Q01S</vt:lpstr>
      <vt:lpstr>PM828Q01</vt:lpstr>
      <vt:lpstr>PM828Q02</vt:lpstr>
      <vt:lpstr>PM828Q03</vt:lpstr>
      <vt:lpstr>PM464Q01S</vt:lpstr>
      <vt:lpstr>PM800Q01S</vt:lpstr>
      <vt:lpstr>PM982Q01</vt:lpstr>
      <vt:lpstr>PM982Q02</vt:lpstr>
      <vt:lpstr>PM982Q03S</vt:lpstr>
      <vt:lpstr>PM982Q04S</vt:lpstr>
      <vt:lpstr>PM992Q01</vt:lpstr>
      <vt:lpstr>PM992Q02</vt:lpstr>
      <vt:lpstr>PM992Q03</vt:lpstr>
      <vt:lpstr>PM915Q01S</vt:lpstr>
      <vt:lpstr>PM915Q02</vt:lpstr>
      <vt:lpstr>PM906Q01S</vt:lpstr>
      <vt:lpstr>PM906Q02</vt:lpstr>
      <vt:lpstr>PM00KQ02</vt:lpstr>
      <vt:lpstr>PM909Q01</vt:lpstr>
      <vt:lpstr>PM909Q02S</vt:lpstr>
      <vt:lpstr>PM909Q03</vt:lpstr>
      <vt:lpstr>PM949Q01S</vt:lpstr>
      <vt:lpstr>PM949Q02S</vt:lpstr>
      <vt:lpstr>PM949Q03</vt:lpstr>
      <vt:lpstr>PM00GQ01</vt:lpstr>
      <vt:lpstr>PM955Q01</vt:lpstr>
      <vt:lpstr>PM955Q02</vt:lpstr>
      <vt:lpstr>PM955Q03</vt:lpstr>
      <vt:lpstr>PM998Q02</vt:lpstr>
      <vt:lpstr>PM998Q04S</vt:lpstr>
      <vt:lpstr>PM905Q01S</vt:lpstr>
      <vt:lpstr>PM905Q02</vt:lpstr>
      <vt:lpstr>PM919Q01</vt:lpstr>
      <vt:lpstr>PM919Q02</vt:lpstr>
      <vt:lpstr>PM954Q01</vt:lpstr>
      <vt:lpstr>PM954Q02</vt:lpstr>
      <vt:lpstr>PM954Q04</vt:lpstr>
      <vt:lpstr>PM943Q01S</vt:lpstr>
      <vt:lpstr>PM943Q02</vt:lpstr>
      <vt:lpstr>PM953Q02</vt:lpstr>
      <vt:lpstr>PM953Q03</vt:lpstr>
      <vt:lpstr>PM953Q04</vt:lpstr>
      <vt:lpstr>PM948Q01S</vt:lpstr>
      <vt:lpstr>PM948Q02</vt:lpstr>
      <vt:lpstr>PM948Q03</vt:lpstr>
      <vt:lpstr>PM936Q01</vt:lpstr>
      <vt:lpstr>PM936Q02</vt:lpstr>
      <vt:lpstr>PM961Q02</vt:lpstr>
      <vt:lpstr>PM961Q03S</vt:lpstr>
      <vt:lpstr>PM961Q05</vt:lpstr>
      <vt:lpstr>PM939Q01S</vt:lpstr>
      <vt:lpstr>PM939Q02S</vt:lpstr>
      <vt:lpstr>PM967Q01</vt:lpstr>
      <vt:lpstr>PM967Q03S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2016-12-02T09:26:53Z</dcterms:created>
  <dcterms:modified xmlns:dcterms="http://purl.org/dc/terms/" xmlns:xsi="http://www.w3.org/2001/XMLSchema-instance" xsi:type="dcterms:W3CDTF">2016-12-02T09:26:53Z</dcterms:modified>
  <cp:lastModifiedBy/>
  <cp:category/>
  <cp:contentStatus/>
  <cp:version/>
  <cp:revision/>
  <cp:keywords/>
</cp:coreProperties>
</file>